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fs1901\30003000保険年金課\03国保税Ｇ\"/>
    </mc:Choice>
  </mc:AlternateContent>
  <xr:revisionPtr revIDLastSave="0" documentId="13_ncr:1_{0633EF7E-120D-438D-8E85-EB3DB825D9C8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令和６年度" sheetId="6" r:id="rId1"/>
    <sheet name="令和５年度" sheetId="1" state="hidden" r:id="rId2"/>
    <sheet name="令和４年度" sheetId="4" state="hidden" r:id="rId3"/>
    <sheet name="R６税率" sheetId="7" state="hidden" r:id="rId4"/>
    <sheet name="R５税率" sheetId="2" state="hidden" r:id="rId5"/>
    <sheet name="R４税率" sheetId="3" state="hidden" r:id="rId6"/>
    <sheet name="pass" sheetId="5" state="hidden" r:id="rId7"/>
  </sheets>
  <definedNames>
    <definedName name="_xlnm.Print_Area" localSheetId="2">令和４年度!$A$1:$X$62</definedName>
    <definedName name="_xlnm.Print_Area" localSheetId="1">令和５年度!$A$1:$X$62</definedName>
    <definedName name="_xlnm.Print_Area" localSheetId="0">令和６年度!$A$1:$X$62</definedName>
  </definedNames>
  <calcPr calcId="191029"/>
</workbook>
</file>

<file path=xl/calcChain.xml><?xml version="1.0" encoding="utf-8"?>
<calcChain xmlns="http://schemas.openxmlformats.org/spreadsheetml/2006/main">
  <c r="AN43" i="6" l="1"/>
  <c r="AU26" i="6"/>
  <c r="AU38" i="6" l="1"/>
  <c r="AU36" i="6"/>
  <c r="AU34" i="6"/>
  <c r="AU32" i="6"/>
  <c r="AT38" i="6"/>
  <c r="AT36" i="6"/>
  <c r="AT34" i="6"/>
  <c r="AT32" i="6"/>
  <c r="AT30" i="6"/>
  <c r="AU30" i="6"/>
  <c r="AU28" i="6"/>
  <c r="AT28" i="6"/>
  <c r="AI43" i="6" l="1"/>
  <c r="AI42" i="6"/>
  <c r="AQ38" i="6"/>
  <c r="AM36" i="6"/>
  <c r="AM38" i="6"/>
  <c r="AK38" i="6"/>
  <c r="AL39" i="6" s="1"/>
  <c r="AK39" i="6"/>
  <c r="AL38" i="6" s="1"/>
  <c r="AH43" i="6" l="1"/>
  <c r="AQ26" i="6"/>
  <c r="AK27" i="6"/>
  <c r="AK26" i="6"/>
  <c r="AL27" i="6" s="1"/>
  <c r="AE26" i="6"/>
  <c r="AH26" i="6" s="1"/>
  <c r="AE30" i="6"/>
  <c r="AE28" i="6"/>
  <c r="AL26" i="6" l="1"/>
  <c r="AF26" i="6"/>
  <c r="AQ42" i="6"/>
  <c r="A15" i="7"/>
  <c r="AM26" i="6"/>
  <c r="AQ36" i="6"/>
  <c r="AQ34" i="6"/>
  <c r="AQ32" i="6"/>
  <c r="AQ30" i="6"/>
  <c r="AQ28" i="6"/>
  <c r="AH42" i="6"/>
  <c r="AK43" i="6"/>
  <c r="AK42" i="6"/>
  <c r="AL43" i="6"/>
  <c r="AL42" i="6"/>
  <c r="AH30" i="6"/>
  <c r="AH28" i="6"/>
  <c r="AE42" i="6"/>
  <c r="X40" i="6"/>
  <c r="AQ44" i="6" l="1"/>
  <c r="AI27" i="6"/>
  <c r="AI26" i="6"/>
  <c r="AH27" i="6" l="1"/>
  <c r="AJ26" i="6" s="1"/>
  <c r="AN27" i="6" s="1"/>
  <c r="L62" i="6"/>
  <c r="AH47" i="6"/>
  <c r="AM42" i="6"/>
  <c r="P42" i="6"/>
  <c r="AE38" i="6"/>
  <c r="AF38" i="6" s="1"/>
  <c r="AK37" i="6"/>
  <c r="AK36" i="6"/>
  <c r="AL36" i="6" s="1"/>
  <c r="AE36" i="6"/>
  <c r="AF36" i="6" s="1"/>
  <c r="AK35" i="6"/>
  <c r="AM34" i="6"/>
  <c r="AK34" i="6"/>
  <c r="AL35" i="6" s="1"/>
  <c r="AE34" i="6"/>
  <c r="AH34" i="6" s="1"/>
  <c r="AK33" i="6"/>
  <c r="AM32" i="6"/>
  <c r="AK32" i="6"/>
  <c r="AL32" i="6" s="1"/>
  <c r="AE32" i="6"/>
  <c r="AH32" i="6" s="1"/>
  <c r="AK31" i="6"/>
  <c r="AM30" i="6"/>
  <c r="AK30" i="6"/>
  <c r="AL31" i="6" s="1"/>
  <c r="AK29" i="6"/>
  <c r="AM28" i="6"/>
  <c r="AK28" i="6"/>
  <c r="AL28" i="6" s="1"/>
  <c r="I51" i="1"/>
  <c r="AF43" i="1"/>
  <c r="AS26" i="1"/>
  <c r="AR26" i="1"/>
  <c r="AN26" i="6" l="1"/>
  <c r="AO26" i="6" s="1"/>
  <c r="AL33" i="6"/>
  <c r="AL30" i="6"/>
  <c r="AL29" i="6"/>
  <c r="AI30" i="6"/>
  <c r="AI31" i="6"/>
  <c r="AH38" i="6"/>
  <c r="AI34" i="6"/>
  <c r="AF34" i="6"/>
  <c r="AI33" i="6"/>
  <c r="AI32" i="6"/>
  <c r="AF32" i="6"/>
  <c r="AI29" i="6"/>
  <c r="AI28" i="6"/>
  <c r="N51" i="6"/>
  <c r="N52" i="6" s="1"/>
  <c r="I51" i="6"/>
  <c r="I52" i="6" s="1"/>
  <c r="AJ42" i="6"/>
  <c r="AM40" i="6"/>
  <c r="AM44" i="6" s="1"/>
  <c r="AU40" i="6"/>
  <c r="S52" i="6" s="1"/>
  <c r="AL34" i="6"/>
  <c r="AI35" i="6" s="1"/>
  <c r="AF30" i="6"/>
  <c r="AH36" i="6"/>
  <c r="AL37" i="6"/>
  <c r="AF28" i="6"/>
  <c r="A22" i="3"/>
  <c r="A21" i="3"/>
  <c r="A20" i="3"/>
  <c r="A19" i="3"/>
  <c r="A18" i="3"/>
  <c r="A17" i="3"/>
  <c r="A16" i="3"/>
  <c r="A23" i="3" s="1"/>
  <c r="L62" i="4"/>
  <c r="AF47" i="4"/>
  <c r="AI43" i="4"/>
  <c r="AC43" i="4"/>
  <c r="AK42" i="4"/>
  <c r="AI42" i="4"/>
  <c r="AJ43" i="4" s="1"/>
  <c r="AG42" i="4"/>
  <c r="AF42" i="4"/>
  <c r="AG43" i="4" s="1"/>
  <c r="AC42" i="4"/>
  <c r="P42" i="4"/>
  <c r="N51" i="4" s="1"/>
  <c r="X40" i="4"/>
  <c r="AJ39" i="4"/>
  <c r="AI39" i="4"/>
  <c r="AS38" i="4"/>
  <c r="AR38" i="4"/>
  <c r="AO38" i="4"/>
  <c r="AK38" i="4"/>
  <c r="AJ38" i="4"/>
  <c r="AI38" i="4"/>
  <c r="AC38" i="4"/>
  <c r="AD38" i="4" s="1"/>
  <c r="AI37" i="4"/>
  <c r="AS36" i="4"/>
  <c r="AR36" i="4"/>
  <c r="AO36" i="4"/>
  <c r="AK36" i="4"/>
  <c r="AI36" i="4"/>
  <c r="AJ36" i="4" s="1"/>
  <c r="AD36" i="4"/>
  <c r="AC36" i="4"/>
  <c r="AF36" i="4" s="1"/>
  <c r="AJ35" i="4"/>
  <c r="AI35" i="4"/>
  <c r="AS34" i="4"/>
  <c r="AR34" i="4"/>
  <c r="AO34" i="4"/>
  <c r="AK34" i="4"/>
  <c r="AJ34" i="4"/>
  <c r="AI34" i="4"/>
  <c r="AF34" i="4"/>
  <c r="AG34" i="4" s="1"/>
  <c r="AD34" i="4"/>
  <c r="AC34" i="4"/>
  <c r="AJ33" i="4"/>
  <c r="AI33" i="4"/>
  <c r="AS32" i="4"/>
  <c r="AR32" i="4"/>
  <c r="AO32" i="4"/>
  <c r="AK32" i="4"/>
  <c r="AJ32" i="4"/>
  <c r="AI32" i="4"/>
  <c r="AC32" i="4"/>
  <c r="AF32" i="4" s="1"/>
  <c r="AI31" i="4"/>
  <c r="AS30" i="4"/>
  <c r="AR30" i="4"/>
  <c r="AO30" i="4"/>
  <c r="AK30" i="4"/>
  <c r="AI30" i="4"/>
  <c r="AJ31" i="4" s="1"/>
  <c r="AC30" i="4"/>
  <c r="AF30" i="4" s="1"/>
  <c r="AJ29" i="4"/>
  <c r="AI29" i="4"/>
  <c r="AG29" i="4"/>
  <c r="AS28" i="4"/>
  <c r="AR28" i="4"/>
  <c r="AO28" i="4"/>
  <c r="AK28" i="4"/>
  <c r="AI28" i="4"/>
  <c r="AJ28" i="4" s="1"/>
  <c r="AF28" i="4"/>
  <c r="AG28" i="4" s="1"/>
  <c r="AC29" i="4" s="1"/>
  <c r="AD28" i="4"/>
  <c r="AC28" i="4"/>
  <c r="AI27" i="4"/>
  <c r="AS26" i="4"/>
  <c r="AS40" i="4" s="1"/>
  <c r="S52" i="4" s="1"/>
  <c r="AO26" i="4"/>
  <c r="AK26" i="4"/>
  <c r="AK40" i="4" s="1"/>
  <c r="AK44" i="4" s="1"/>
  <c r="AJ26" i="4"/>
  <c r="AI26" i="4"/>
  <c r="AJ27" i="4" s="1"/>
  <c r="AC26" i="4"/>
  <c r="AF26" i="4" s="1"/>
  <c r="AL41" i="6" l="1"/>
  <c r="AL45" i="6" s="1"/>
  <c r="AH29" i="6"/>
  <c r="AJ28" i="6" s="1"/>
  <c r="AH35" i="6"/>
  <c r="AJ34" i="6" s="1"/>
  <c r="AN35" i="6" s="1"/>
  <c r="AH31" i="6"/>
  <c r="AJ30" i="6" s="1"/>
  <c r="AI38" i="6"/>
  <c r="AI39" i="6"/>
  <c r="AI36" i="6"/>
  <c r="AI37" i="6"/>
  <c r="AH33" i="6"/>
  <c r="AJ32" i="6" s="1"/>
  <c r="AN33" i="6" s="1"/>
  <c r="AP26" i="6"/>
  <c r="AT26" i="6" s="1"/>
  <c r="AL40" i="6"/>
  <c r="AN42" i="6"/>
  <c r="P43" i="6"/>
  <c r="S51" i="6" s="1"/>
  <c r="AN34" i="6"/>
  <c r="I51" i="4"/>
  <c r="I52" i="4" s="1"/>
  <c r="N52" i="4"/>
  <c r="P43" i="4"/>
  <c r="S51" i="4" s="1"/>
  <c r="AG36" i="4"/>
  <c r="AG37" i="4"/>
  <c r="AG26" i="4"/>
  <c r="AG27" i="4"/>
  <c r="AF29" i="4"/>
  <c r="AH28" i="4" s="1"/>
  <c r="AD29" i="4"/>
  <c r="AG32" i="4"/>
  <c r="AC33" i="4" s="1"/>
  <c r="AG33" i="4"/>
  <c r="AG30" i="4"/>
  <c r="AG31" i="4"/>
  <c r="AF43" i="4"/>
  <c r="AH42" i="4" s="1"/>
  <c r="AD32" i="4"/>
  <c r="AF38" i="4"/>
  <c r="AD26" i="4"/>
  <c r="AJ30" i="4"/>
  <c r="AJ40" i="4" s="1"/>
  <c r="AD30" i="4"/>
  <c r="AJ42" i="4"/>
  <c r="AJ37" i="4"/>
  <c r="AJ41" i="4" s="1"/>
  <c r="AJ45" i="4" s="1"/>
  <c r="AG35" i="4"/>
  <c r="AC35" i="4" s="1"/>
  <c r="X40" i="1"/>
  <c r="L62" i="1" s="1"/>
  <c r="AN30" i="6" l="1"/>
  <c r="AN31" i="6"/>
  <c r="AN28" i="6"/>
  <c r="AN29" i="6"/>
  <c r="AO34" i="6"/>
  <c r="AP34" i="6"/>
  <c r="AH39" i="6"/>
  <c r="AJ38" i="6" s="1"/>
  <c r="AN39" i="6" s="1"/>
  <c r="AH37" i="6"/>
  <c r="AJ36" i="6" s="1"/>
  <c r="AN37" i="6" s="1"/>
  <c r="AO30" i="6"/>
  <c r="AN32" i="6"/>
  <c r="AO32" i="6" s="1"/>
  <c r="AO28" i="6"/>
  <c r="AO42" i="4"/>
  <c r="AO44" i="4" s="1"/>
  <c r="AL43" i="4"/>
  <c r="AF35" i="4"/>
  <c r="AH34" i="4" s="1"/>
  <c r="AD35" i="4"/>
  <c r="AL28" i="4"/>
  <c r="AL29" i="4"/>
  <c r="AF33" i="4"/>
  <c r="AH32" i="4" s="1"/>
  <c r="AD33" i="4"/>
  <c r="AG39" i="4"/>
  <c r="AG38" i="4"/>
  <c r="AC39" i="4" s="1"/>
  <c r="AC37" i="4"/>
  <c r="AC31" i="4"/>
  <c r="AC27" i="4"/>
  <c r="AO38" i="1"/>
  <c r="AO28" i="1"/>
  <c r="AO30" i="1"/>
  <c r="AO32" i="1"/>
  <c r="AO34" i="1"/>
  <c r="AO36" i="1"/>
  <c r="AO26" i="1"/>
  <c r="AN38" i="6" l="1"/>
  <c r="AO38" i="6" s="1"/>
  <c r="AN36" i="6"/>
  <c r="AO36" i="6" s="1"/>
  <c r="AP30" i="6"/>
  <c r="AP28" i="6"/>
  <c r="AP38" i="6"/>
  <c r="AP32" i="6"/>
  <c r="AL32" i="4"/>
  <c r="AL33" i="4"/>
  <c r="AD27" i="4"/>
  <c r="AF27" i="4"/>
  <c r="AH26" i="4" s="1"/>
  <c r="AF31" i="4"/>
  <c r="AH30" i="4" s="1"/>
  <c r="AD31" i="4"/>
  <c r="AM28" i="4"/>
  <c r="AN28" i="4" s="1"/>
  <c r="AF39" i="4"/>
  <c r="AH38" i="4" s="1"/>
  <c r="AD39" i="4"/>
  <c r="AF37" i="4"/>
  <c r="AH36" i="4" s="1"/>
  <c r="AD37" i="4"/>
  <c r="AL34" i="4"/>
  <c r="AL35" i="4"/>
  <c r="A22" i="2"/>
  <c r="A21" i="2"/>
  <c r="A20" i="2"/>
  <c r="A19" i="2"/>
  <c r="A18" i="2"/>
  <c r="A17" i="2"/>
  <c r="A16" i="2"/>
  <c r="AN41" i="6" l="1"/>
  <c r="AN45" i="6" s="1"/>
  <c r="AN40" i="6"/>
  <c r="AJ40" i="6"/>
  <c r="AJ44" i="6" s="1"/>
  <c r="AP36" i="6"/>
  <c r="AL31" i="4"/>
  <c r="AL30" i="4"/>
  <c r="AH40" i="4"/>
  <c r="AH44" i="4" s="1"/>
  <c r="AL27" i="4"/>
  <c r="AL26" i="4"/>
  <c r="AM34" i="4"/>
  <c r="AN34" i="4" s="1"/>
  <c r="AL37" i="4"/>
  <c r="AL36" i="4"/>
  <c r="AL38" i="4"/>
  <c r="AL39" i="4"/>
  <c r="AM32" i="4"/>
  <c r="AN32" i="4"/>
  <c r="A23" i="2"/>
  <c r="AC38" i="1"/>
  <c r="AD38" i="1" s="1"/>
  <c r="AC36" i="1"/>
  <c r="AD36" i="1" s="1"/>
  <c r="AC34" i="1"/>
  <c r="AD34" i="1" s="1"/>
  <c r="AC32" i="1"/>
  <c r="AD32" i="1" s="1"/>
  <c r="AC30" i="1"/>
  <c r="AF30" i="1" s="1"/>
  <c r="AC28" i="1"/>
  <c r="AD28" i="1" s="1"/>
  <c r="AC26" i="1"/>
  <c r="AD26" i="1" s="1"/>
  <c r="AC43" i="1"/>
  <c r="AC42" i="1"/>
  <c r="AP40" i="6" l="1"/>
  <c r="AT40" i="6"/>
  <c r="S49" i="6" s="1"/>
  <c r="AL53" i="6"/>
  <c r="AN54" i="6"/>
  <c r="AL52" i="6"/>
  <c r="AL54" i="6"/>
  <c r="AM54" i="6"/>
  <c r="AN52" i="6"/>
  <c r="AM52" i="6"/>
  <c r="AM53" i="6"/>
  <c r="AN53" i="6"/>
  <c r="AL40" i="4"/>
  <c r="AM26" i="4"/>
  <c r="AN26" i="4" s="1"/>
  <c r="AR26" i="4" s="1"/>
  <c r="AR40" i="4" s="1"/>
  <c r="S49" i="4" s="1"/>
  <c r="AL41" i="4"/>
  <c r="AL45" i="4" s="1"/>
  <c r="AM38" i="4"/>
  <c r="AN38" i="4" s="1"/>
  <c r="AM30" i="4"/>
  <c r="AN30" i="4" s="1"/>
  <c r="AM36" i="4"/>
  <c r="AN36" i="4" s="1"/>
  <c r="AF38" i="1"/>
  <c r="AG39" i="1" s="1"/>
  <c r="AF36" i="1"/>
  <c r="AF34" i="1"/>
  <c r="AG35" i="1" s="1"/>
  <c r="AF32" i="1"/>
  <c r="AG33" i="1" s="1"/>
  <c r="AD30" i="1"/>
  <c r="AF28" i="1"/>
  <c r="AF26" i="1"/>
  <c r="AF47" i="1"/>
  <c r="AK42" i="1"/>
  <c r="AF42" i="1"/>
  <c r="AG42" i="1" s="1"/>
  <c r="AI43" i="1"/>
  <c r="AI42" i="1"/>
  <c r="AJ42" i="1" s="1"/>
  <c r="AI39" i="1"/>
  <c r="AK38" i="1"/>
  <c r="AI38" i="1"/>
  <c r="AI37" i="1"/>
  <c r="AK36" i="1"/>
  <c r="AI36" i="1"/>
  <c r="AI35" i="1"/>
  <c r="AK34" i="1"/>
  <c r="AI34" i="1"/>
  <c r="AJ34" i="1" s="1"/>
  <c r="AI33" i="1"/>
  <c r="AK32" i="1"/>
  <c r="AI32" i="1"/>
  <c r="AJ33" i="1" s="1"/>
  <c r="AI31" i="1"/>
  <c r="AK30" i="1"/>
  <c r="AI30" i="1"/>
  <c r="AJ31" i="1" s="1"/>
  <c r="AG31" i="1"/>
  <c r="AI29" i="1"/>
  <c r="AK28" i="1"/>
  <c r="AI28" i="1"/>
  <c r="AK26" i="1"/>
  <c r="AI27" i="1"/>
  <c r="AI26" i="1"/>
  <c r="AJ26" i="1" s="1"/>
  <c r="N44" i="6" l="1"/>
  <c r="I49" i="6" s="1"/>
  <c r="AL55" i="6"/>
  <c r="E8" i="7" s="1"/>
  <c r="AM55" i="6"/>
  <c r="AN55" i="6"/>
  <c r="S53" i="6" s="1"/>
  <c r="AI52" i="6" s="1"/>
  <c r="AI55" i="6" s="1"/>
  <c r="S54" i="6" s="1"/>
  <c r="AN40" i="4"/>
  <c r="N44" i="4" s="1"/>
  <c r="AL52" i="4"/>
  <c r="AK52" i="4"/>
  <c r="AL51" i="4"/>
  <c r="AL53" i="4"/>
  <c r="AJ52" i="4"/>
  <c r="AK51" i="4"/>
  <c r="AK53" i="4"/>
  <c r="AJ51" i="4"/>
  <c r="AJ53" i="4"/>
  <c r="AG37" i="1"/>
  <c r="AJ39" i="1"/>
  <c r="AJ29" i="1"/>
  <c r="AJ37" i="1"/>
  <c r="AJ35" i="1"/>
  <c r="AJ43" i="1"/>
  <c r="AJ28" i="1"/>
  <c r="AG29" i="1" s="1"/>
  <c r="AJ36" i="1"/>
  <c r="AJ30" i="1"/>
  <c r="AJ38" i="1"/>
  <c r="AJ32" i="1"/>
  <c r="AJ27" i="1"/>
  <c r="AG27" i="1"/>
  <c r="AG43" i="1"/>
  <c r="AG38" i="1"/>
  <c r="AG36" i="1"/>
  <c r="AG34" i="1"/>
  <c r="AG32" i="1"/>
  <c r="AG30" i="1"/>
  <c r="AG26" i="1"/>
  <c r="N49" i="6" l="1"/>
  <c r="E10" i="7"/>
  <c r="E9" i="7"/>
  <c r="E6" i="7" s="1"/>
  <c r="AL54" i="4"/>
  <c r="S53" i="4" s="1"/>
  <c r="AG52" i="4" s="1"/>
  <c r="AG55" i="4" s="1"/>
  <c r="S54" i="4" s="1"/>
  <c r="I49" i="4"/>
  <c r="N49" i="4"/>
  <c r="AK54" i="4"/>
  <c r="AJ54" i="4"/>
  <c r="E9" i="3" s="1"/>
  <c r="AG28" i="1"/>
  <c r="AC29" i="1" s="1"/>
  <c r="AD29" i="1" s="1"/>
  <c r="AJ41" i="1"/>
  <c r="AC37" i="1"/>
  <c r="AD37" i="1" s="1"/>
  <c r="AC31" i="1"/>
  <c r="AD31" i="1" s="1"/>
  <c r="AC39" i="1"/>
  <c r="AD39" i="1" s="1"/>
  <c r="AC33" i="1"/>
  <c r="AD33" i="1" s="1"/>
  <c r="AC35" i="1"/>
  <c r="AD35" i="1" s="1"/>
  <c r="AC27" i="1"/>
  <c r="AD27" i="1" s="1"/>
  <c r="AJ40" i="1"/>
  <c r="AH42" i="1"/>
  <c r="F6" i="7" l="1"/>
  <c r="D15" i="7" s="1"/>
  <c r="D16" i="7" s="1"/>
  <c r="I53" i="6" s="1"/>
  <c r="AG52" i="6" s="1"/>
  <c r="V60" i="6"/>
  <c r="E6" i="3"/>
  <c r="E8" i="3"/>
  <c r="E10" i="3"/>
  <c r="AF29" i="1"/>
  <c r="AH28" i="1" s="1"/>
  <c r="AF37" i="1"/>
  <c r="AH36" i="1" s="1"/>
  <c r="AF33" i="1"/>
  <c r="AH32" i="1" s="1"/>
  <c r="AF35" i="1"/>
  <c r="AH34" i="1" s="1"/>
  <c r="AF39" i="1"/>
  <c r="AH38" i="1" s="1"/>
  <c r="AF31" i="1"/>
  <c r="AH30" i="1" s="1"/>
  <c r="AF27" i="1"/>
  <c r="AH26" i="1" s="1"/>
  <c r="AL43" i="1"/>
  <c r="AO42" i="1"/>
  <c r="AO44" i="1" s="1"/>
  <c r="E15" i="7" l="1"/>
  <c r="E16" i="7" s="1"/>
  <c r="N53" i="6" s="1"/>
  <c r="AH52" i="6" s="1"/>
  <c r="AH55" i="6" s="1"/>
  <c r="N54" i="6" s="1"/>
  <c r="F6" i="3"/>
  <c r="V60" i="4"/>
  <c r="E16" i="3"/>
  <c r="E17" i="3" s="1"/>
  <c r="N53" i="4" s="1"/>
  <c r="AF52" i="4" s="1"/>
  <c r="AF55" i="4" s="1"/>
  <c r="N54" i="4" s="1"/>
  <c r="D16" i="3"/>
  <c r="D17" i="3" s="1"/>
  <c r="I53" i="4" s="1"/>
  <c r="AE52" i="4" s="1"/>
  <c r="AE55" i="4" s="1"/>
  <c r="I54" i="4" s="1"/>
  <c r="AL28" i="1"/>
  <c r="AM28" i="1" s="1"/>
  <c r="AN28" i="1" s="1"/>
  <c r="AL29" i="1"/>
  <c r="AL37" i="1"/>
  <c r="AL36" i="1"/>
  <c r="AM36" i="1" s="1"/>
  <c r="AN36" i="1" s="1"/>
  <c r="AL30" i="1"/>
  <c r="AM30" i="1" s="1"/>
  <c r="AN30" i="1" s="1"/>
  <c r="AL31" i="1"/>
  <c r="AL35" i="1"/>
  <c r="AL34" i="1"/>
  <c r="AM34" i="1" s="1"/>
  <c r="AN34" i="1" s="1"/>
  <c r="AL39" i="1"/>
  <c r="AL38" i="1"/>
  <c r="AM38" i="1" s="1"/>
  <c r="AN38" i="1" s="1"/>
  <c r="AL33" i="1"/>
  <c r="AL32" i="1"/>
  <c r="AM32" i="1" s="1"/>
  <c r="AN32" i="1" s="1"/>
  <c r="AL27" i="1"/>
  <c r="AL26" i="1"/>
  <c r="AM26" i="1" s="1"/>
  <c r="AN26" i="1" s="1"/>
  <c r="P42" i="1"/>
  <c r="I52" i="1" s="1"/>
  <c r="AJ53" i="1" s="1"/>
  <c r="AG55" i="6" l="1"/>
  <c r="I54" i="6" s="1"/>
  <c r="L60" i="4"/>
  <c r="L61" i="4" s="1"/>
  <c r="AS28" i="1"/>
  <c r="AR30" i="1"/>
  <c r="AS30" i="1"/>
  <c r="AR32" i="1"/>
  <c r="AS32" i="1"/>
  <c r="AR34" i="1"/>
  <c r="AS34" i="1"/>
  <c r="AR36" i="1"/>
  <c r="AS36" i="1"/>
  <c r="AR38" i="1"/>
  <c r="AS38" i="1"/>
  <c r="N51" i="1"/>
  <c r="L60" i="6" l="1"/>
  <c r="L61" i="6" s="1"/>
  <c r="N52" i="1"/>
  <c r="AK40" i="1"/>
  <c r="AK44" i="1" s="1"/>
  <c r="AS40" i="1"/>
  <c r="P43" i="1" s="1"/>
  <c r="AR28" i="1"/>
  <c r="AJ45" i="1" l="1"/>
  <c r="S52" i="1"/>
  <c r="S51" i="1"/>
  <c r="AH40" i="1"/>
  <c r="AH44" i="1" s="1"/>
  <c r="AL41" i="1"/>
  <c r="AL45" i="1" s="1"/>
  <c r="AL40" i="1"/>
  <c r="AJ52" i="1" l="1"/>
  <c r="AL53" i="1"/>
  <c r="AK53" i="1"/>
  <c r="AL52" i="1"/>
  <c r="AK52" i="1"/>
  <c r="AL51" i="1"/>
  <c r="AK51" i="1"/>
  <c r="AJ51" i="1"/>
  <c r="AR40" i="1"/>
  <c r="S49" i="1" s="1"/>
  <c r="AN40" i="1"/>
  <c r="N44" i="1" s="1"/>
  <c r="AJ54" i="1" l="1"/>
  <c r="AK54" i="1"/>
  <c r="AL54" i="1"/>
  <c r="S53" i="1" s="1"/>
  <c r="I49" i="1"/>
  <c r="N49" i="1"/>
  <c r="AG52" i="1" l="1"/>
  <c r="AG55" i="1" s="1"/>
  <c r="S54" i="1" s="1"/>
  <c r="E10" i="2"/>
  <c r="E9" i="2"/>
  <c r="E8" i="2"/>
  <c r="E6" i="2" l="1"/>
  <c r="F6" i="2" l="1"/>
  <c r="E16" i="2" s="1"/>
  <c r="E17" i="2" s="1"/>
  <c r="V60" i="1"/>
  <c r="D16" i="2" l="1"/>
  <c r="D17" i="2" s="1"/>
  <c r="I53" i="1" s="1"/>
  <c r="N53" i="1"/>
  <c r="AF52" i="1" s="1"/>
  <c r="AF55" i="1" s="1"/>
  <c r="N54" i="1" s="1"/>
  <c r="AE52" i="1" l="1"/>
  <c r="AE55" i="1" s="1"/>
  <c r="I54" i="1" s="1"/>
  <c r="L60" i="1" l="1"/>
  <c r="L61" i="1" s="1"/>
</calcChain>
</file>

<file path=xl/sharedStrings.xml><?xml version="1.0" encoding="utf-8"?>
<sst xmlns="http://schemas.openxmlformats.org/spreadsheetml/2006/main" count="569" uniqueCount="139">
  <si>
    <t>円</t>
    <rPh sb="0" eb="1">
      <t>エン</t>
    </rPh>
    <phoneticPr fontId="2"/>
  </si>
  <si>
    <t>均等割</t>
    <rPh sb="0" eb="2">
      <t>キントウ</t>
    </rPh>
    <rPh sb="2" eb="3">
      <t>ワリ</t>
    </rPh>
    <phoneticPr fontId="2"/>
  </si>
  <si>
    <t>平等割</t>
    <rPh sb="0" eb="2">
      <t>ビョウドウ</t>
    </rPh>
    <rPh sb="2" eb="3">
      <t>ワリ</t>
    </rPh>
    <phoneticPr fontId="2"/>
  </si>
  <si>
    <t>医療分</t>
    <rPh sb="0" eb="2">
      <t>イリョウ</t>
    </rPh>
    <rPh sb="2" eb="3">
      <t>ブン</t>
    </rPh>
    <phoneticPr fontId="2"/>
  </si>
  <si>
    <t>介護分</t>
    <rPh sb="0" eb="2">
      <t>カイゴ</t>
    </rPh>
    <rPh sb="2" eb="3">
      <t>ブン</t>
    </rPh>
    <phoneticPr fontId="2"/>
  </si>
  <si>
    <t>世帯員１</t>
    <rPh sb="0" eb="3">
      <t>セタイイン</t>
    </rPh>
    <phoneticPr fontId="2"/>
  </si>
  <si>
    <t>世帯員２</t>
    <rPh sb="0" eb="3">
      <t>セタイイン</t>
    </rPh>
    <phoneticPr fontId="2"/>
  </si>
  <si>
    <t>世帯員３</t>
    <rPh sb="0" eb="3">
      <t>セタイイン</t>
    </rPh>
    <phoneticPr fontId="2"/>
  </si>
  <si>
    <t>世帯員４</t>
    <rPh sb="0" eb="3">
      <t>セタイイン</t>
    </rPh>
    <phoneticPr fontId="2"/>
  </si>
  <si>
    <t>世帯員５</t>
    <rPh sb="0" eb="3">
      <t>セタイイン</t>
    </rPh>
    <phoneticPr fontId="2"/>
  </si>
  <si>
    <t>世帯員６</t>
    <rPh sb="0" eb="3">
      <t>セタイイン</t>
    </rPh>
    <phoneticPr fontId="2"/>
  </si>
  <si>
    <t>人</t>
    <rPh sb="0" eb="1">
      <t>ニン</t>
    </rPh>
    <phoneticPr fontId="2"/>
  </si>
  <si>
    <t>基礎データシート</t>
    <rPh sb="0" eb="2">
      <t>キソ</t>
    </rPh>
    <phoneticPr fontId="2"/>
  </si>
  <si>
    <t>基礎控除</t>
    <rPh sb="0" eb="2">
      <t>キソ</t>
    </rPh>
    <rPh sb="2" eb="4">
      <t>コウジョ</t>
    </rPh>
    <phoneticPr fontId="2"/>
  </si>
  <si>
    <t>所得割額</t>
    <rPh sb="0" eb="2">
      <t>ショトク</t>
    </rPh>
    <rPh sb="2" eb="3">
      <t>ワリ</t>
    </rPh>
    <rPh sb="3" eb="4">
      <t>ガク</t>
    </rPh>
    <phoneticPr fontId="2"/>
  </si>
  <si>
    <t>限度額</t>
    <rPh sb="0" eb="2">
      <t>ゲンド</t>
    </rPh>
    <rPh sb="2" eb="3">
      <t>ガク</t>
    </rPh>
    <phoneticPr fontId="2"/>
  </si>
  <si>
    <t>軽減判定</t>
    <rPh sb="0" eb="2">
      <t>ケイゲン</t>
    </rPh>
    <rPh sb="2" eb="4">
      <t>ハンテイ</t>
    </rPh>
    <phoneticPr fontId="2"/>
  </si>
  <si>
    <t>給与所得</t>
    <rPh sb="0" eb="2">
      <t>キュウヨ</t>
    </rPh>
    <rPh sb="2" eb="4">
      <t>ショトク</t>
    </rPh>
    <phoneticPr fontId="2"/>
  </si>
  <si>
    <t>年金所得</t>
    <rPh sb="0" eb="2">
      <t>ネンキン</t>
    </rPh>
    <rPh sb="2" eb="4">
      <t>ショトク</t>
    </rPh>
    <phoneticPr fontId="2"/>
  </si>
  <si>
    <t>合　　計</t>
    <rPh sb="0" eb="1">
      <t>ゴウ</t>
    </rPh>
    <rPh sb="3" eb="4">
      <t>ケイ</t>
    </rPh>
    <phoneticPr fontId="2"/>
  </si>
  <si>
    <t>計</t>
    <rPh sb="0" eb="1">
      <t>ケイ</t>
    </rPh>
    <phoneticPr fontId="2"/>
  </si>
  <si>
    <t>介護該当人数</t>
    <rPh sb="0" eb="2">
      <t>カイゴ</t>
    </rPh>
    <rPh sb="2" eb="4">
      <t>ガイトウ</t>
    </rPh>
    <rPh sb="4" eb="6">
      <t>ニンズウ</t>
    </rPh>
    <phoneticPr fontId="2"/>
  </si>
  <si>
    <t>医療分計</t>
    <rPh sb="0" eb="2">
      <t>イリョウ</t>
    </rPh>
    <rPh sb="2" eb="3">
      <t>ブン</t>
    </rPh>
    <rPh sb="3" eb="4">
      <t>ケイ</t>
    </rPh>
    <phoneticPr fontId="2"/>
  </si>
  <si>
    <t>介護分計</t>
    <rPh sb="0" eb="2">
      <t>カイゴ</t>
    </rPh>
    <rPh sb="2" eb="3">
      <t>ブン</t>
    </rPh>
    <rPh sb="3" eb="4">
      <t>ケイ</t>
    </rPh>
    <phoneticPr fontId="2"/>
  </si>
  <si>
    <t>歳</t>
    <rPh sb="0" eb="1">
      <t>サイ</t>
    </rPh>
    <phoneticPr fontId="2"/>
  </si>
  <si>
    <t>世帯員７</t>
    <rPh sb="0" eb="3">
      <t>セタイイン</t>
    </rPh>
    <phoneticPr fontId="2"/>
  </si>
  <si>
    <t>１ヶ月平均</t>
    <rPh sb="2" eb="3">
      <t>ゲツ</t>
    </rPh>
    <rPh sb="3" eb="5">
      <t>ヘイキン</t>
    </rPh>
    <phoneticPr fontId="2"/>
  </si>
  <si>
    <t>7割軽減</t>
    <rPh sb="1" eb="2">
      <t>ワリ</t>
    </rPh>
    <rPh sb="2" eb="4">
      <t>ケイゲン</t>
    </rPh>
    <phoneticPr fontId="2"/>
  </si>
  <si>
    <t>5割軽減</t>
    <rPh sb="1" eb="2">
      <t>ワリ</t>
    </rPh>
    <rPh sb="2" eb="4">
      <t>ケイゲン</t>
    </rPh>
    <phoneticPr fontId="2"/>
  </si>
  <si>
    <t>2割軽減</t>
    <rPh sb="1" eb="2">
      <t>ワリ</t>
    </rPh>
    <rPh sb="2" eb="4">
      <t>ケイゲン</t>
    </rPh>
    <phoneticPr fontId="2"/>
  </si>
  <si>
    <t>加入者数</t>
    <rPh sb="0" eb="2">
      <t>カニュウ</t>
    </rPh>
    <rPh sb="2" eb="3">
      <t>シャ</t>
    </rPh>
    <rPh sb="3" eb="4">
      <t>スウ</t>
    </rPh>
    <phoneticPr fontId="2"/>
  </si>
  <si>
    <t>（４０～６４歳の加入者）</t>
    <rPh sb="6" eb="7">
      <t>サイ</t>
    </rPh>
    <rPh sb="8" eb="11">
      <t>カニュウシャ</t>
    </rPh>
    <phoneticPr fontId="2"/>
  </si>
  <si>
    <t>所得割額</t>
    <rPh sb="0" eb="1">
      <t>トコロ</t>
    </rPh>
    <rPh sb="1" eb="2">
      <t>エ</t>
    </rPh>
    <rPh sb="2" eb="3">
      <t>ワリ</t>
    </rPh>
    <rPh sb="3" eb="4">
      <t>ガク</t>
    </rPh>
    <phoneticPr fontId="2"/>
  </si>
  <si>
    <t>均等割額</t>
    <rPh sb="0" eb="1">
      <t>ヒトシ</t>
    </rPh>
    <rPh sb="1" eb="2">
      <t>トウ</t>
    </rPh>
    <rPh sb="2" eb="3">
      <t>ワリ</t>
    </rPh>
    <rPh sb="3" eb="4">
      <t>ガク</t>
    </rPh>
    <phoneticPr fontId="2"/>
  </si>
  <si>
    <t>平等割額</t>
    <rPh sb="0" eb="1">
      <t>ヒラ</t>
    </rPh>
    <rPh sb="1" eb="2">
      <t>トウ</t>
    </rPh>
    <rPh sb="2" eb="3">
      <t>ワリ</t>
    </rPh>
    <rPh sb="3" eb="4">
      <t>ガク</t>
    </rPh>
    <phoneticPr fontId="2"/>
  </si>
  <si>
    <t>端数処理前</t>
    <rPh sb="0" eb="2">
      <t>ハスウ</t>
    </rPh>
    <rPh sb="2" eb="4">
      <t>ショリ</t>
    </rPh>
    <rPh sb="4" eb="5">
      <t>マエ</t>
    </rPh>
    <phoneticPr fontId="2"/>
  </si>
  <si>
    <t>端数処理後</t>
    <rPh sb="0" eb="2">
      <t>ハスウ</t>
    </rPh>
    <rPh sb="2" eb="4">
      <t>ショリ</t>
    </rPh>
    <rPh sb="4" eb="5">
      <t>ゴ</t>
    </rPh>
    <phoneticPr fontId="2"/>
  </si>
  <si>
    <t>医療分軽減額</t>
    <rPh sb="0" eb="2">
      <t>イリョウ</t>
    </rPh>
    <rPh sb="2" eb="3">
      <t>ブン</t>
    </rPh>
    <rPh sb="3" eb="5">
      <t>ケイゲン</t>
    </rPh>
    <rPh sb="5" eb="6">
      <t>ガク</t>
    </rPh>
    <phoneticPr fontId="2"/>
  </si>
  <si>
    <t>７割軽減</t>
    <rPh sb="1" eb="2">
      <t>ワリ</t>
    </rPh>
    <rPh sb="2" eb="4">
      <t>ケイゲン</t>
    </rPh>
    <phoneticPr fontId="2"/>
  </si>
  <si>
    <t>５割軽減</t>
    <rPh sb="1" eb="2">
      <t>ワリ</t>
    </rPh>
    <rPh sb="2" eb="4">
      <t>ケイゲン</t>
    </rPh>
    <phoneticPr fontId="2"/>
  </si>
  <si>
    <t>２割軽減</t>
    <rPh sb="1" eb="2">
      <t>ワリ</t>
    </rPh>
    <rPh sb="2" eb="4">
      <t>ケイゲン</t>
    </rPh>
    <phoneticPr fontId="2"/>
  </si>
  <si>
    <t>介護分軽減額</t>
    <rPh sb="0" eb="2">
      <t>カイゴ</t>
    </rPh>
    <rPh sb="2" eb="3">
      <t>ブン</t>
    </rPh>
    <rPh sb="3" eb="5">
      <t>ケイゲン</t>
    </rPh>
    <rPh sb="5" eb="6">
      <t>ガク</t>
    </rPh>
    <phoneticPr fontId="2"/>
  </si>
  <si>
    <t>適用される軽減額</t>
    <rPh sb="0" eb="2">
      <t>テキヨウ</t>
    </rPh>
    <rPh sb="5" eb="7">
      <t>ケイゲン</t>
    </rPh>
    <rPh sb="7" eb="8">
      <t>ガク</t>
    </rPh>
    <phoneticPr fontId="2"/>
  </si>
  <si>
    <t>加入者２</t>
    <rPh sb="0" eb="3">
      <t>カニュウシャ</t>
    </rPh>
    <phoneticPr fontId="2"/>
  </si>
  <si>
    <t>加入者３</t>
    <rPh sb="0" eb="3">
      <t>カニュウシャ</t>
    </rPh>
    <phoneticPr fontId="2"/>
  </si>
  <si>
    <t>加入者４</t>
    <rPh sb="0" eb="3">
      <t>カニュウシャ</t>
    </rPh>
    <phoneticPr fontId="2"/>
  </si>
  <si>
    <t>加入者５</t>
    <rPh sb="0" eb="3">
      <t>カニュウシャ</t>
    </rPh>
    <phoneticPr fontId="2"/>
  </si>
  <si>
    <t>加入者６</t>
    <rPh sb="0" eb="3">
      <t>カニュウシャ</t>
    </rPh>
    <phoneticPr fontId="2"/>
  </si>
  <si>
    <t>加入者７</t>
    <rPh sb="0" eb="3">
      <t>カニュウシャ</t>
    </rPh>
    <phoneticPr fontId="2"/>
  </si>
  <si>
    <t>加入者１</t>
    <rPh sb="0" eb="3">
      <t>カニュウシャ</t>
    </rPh>
    <phoneticPr fontId="2"/>
  </si>
  <si>
    <t>擬制世帯主</t>
    <rPh sb="0" eb="2">
      <t>ギセイ</t>
    </rPh>
    <rPh sb="2" eb="5">
      <t>セタイヌシ</t>
    </rPh>
    <phoneticPr fontId="2"/>
  </si>
  <si>
    <t>擬制世帯主数</t>
    <rPh sb="0" eb="2">
      <t>ギセイ</t>
    </rPh>
    <rPh sb="2" eb="5">
      <t>セタイヌシ</t>
    </rPh>
    <rPh sb="5" eb="6">
      <t>スウ</t>
    </rPh>
    <phoneticPr fontId="2"/>
  </si>
  <si>
    <t>その他の所得③</t>
    <rPh sb="2" eb="3">
      <t>タ</t>
    </rPh>
    <rPh sb="4" eb="6">
      <t>ショトク</t>
    </rPh>
    <phoneticPr fontId="2"/>
  </si>
  <si>
    <t>給与所得判定①</t>
    <rPh sb="0" eb="2">
      <t>キュウヨ</t>
    </rPh>
    <rPh sb="2" eb="4">
      <t>ショトク</t>
    </rPh>
    <rPh sb="4" eb="6">
      <t>ハンテイ</t>
    </rPh>
    <phoneticPr fontId="2"/>
  </si>
  <si>
    <t>33万円控除後判定</t>
    <rPh sb="2" eb="4">
      <t>マンエン</t>
    </rPh>
    <rPh sb="4" eb="6">
      <t>コウジョ</t>
    </rPh>
    <rPh sb="6" eb="7">
      <t>ゴ</t>
    </rPh>
    <rPh sb="7" eb="9">
      <t>ハンテイ</t>
    </rPh>
    <phoneticPr fontId="2"/>
  </si>
  <si>
    <t>年金所得判定②
軽減用年金所得</t>
    <rPh sb="0" eb="2">
      <t>ネンキン</t>
    </rPh>
    <rPh sb="2" eb="4">
      <t>ショトク</t>
    </rPh>
    <rPh sb="4" eb="6">
      <t>ハンテイ</t>
    </rPh>
    <rPh sb="8" eb="10">
      <t>ケイゲン</t>
    </rPh>
    <rPh sb="10" eb="11">
      <t>ヨウ</t>
    </rPh>
    <rPh sb="11" eb="13">
      <t>ネンキン</t>
    </rPh>
    <rPh sb="13" eb="15">
      <t>ショトク</t>
    </rPh>
    <phoneticPr fontId="2"/>
  </si>
  <si>
    <t>所得計(①+②+③)
軽減判定用所得計</t>
    <rPh sb="0" eb="2">
      <t>ショトク</t>
    </rPh>
    <rPh sb="2" eb="3">
      <t>ケイ</t>
    </rPh>
    <rPh sb="11" eb="13">
      <t>ケイゲン</t>
    </rPh>
    <rPh sb="13" eb="15">
      <t>ハンテイ</t>
    </rPh>
    <rPh sb="15" eb="16">
      <t>ヨウ</t>
    </rPh>
    <rPh sb="16" eb="18">
      <t>ショトク</t>
    </rPh>
    <rPh sb="18" eb="19">
      <t>ケイ</t>
    </rPh>
    <phoneticPr fontId="2"/>
  </si>
  <si>
    <t>(社会保険等の加入者)</t>
    <rPh sb="1" eb="3">
      <t>シャカイ</t>
    </rPh>
    <rPh sb="3" eb="5">
      <t>ホケン</t>
    </rPh>
    <rPh sb="5" eb="6">
      <t>トウ</t>
    </rPh>
    <rPh sb="7" eb="9">
      <t>カニュウ</t>
    </rPh>
    <rPh sb="9" eb="10">
      <t>シャ</t>
    </rPh>
    <phoneticPr fontId="2"/>
  </si>
  <si>
    <t>軽 減 額</t>
    <rPh sb="0" eb="1">
      <t>ケイ</t>
    </rPh>
    <rPh sb="2" eb="3">
      <t>ゲン</t>
    </rPh>
    <rPh sb="4" eb="5">
      <t>ガク</t>
    </rPh>
    <phoneticPr fontId="2"/>
  </si>
  <si>
    <t>医療分・後期分</t>
    <rPh sb="0" eb="2">
      <t>イリョウ</t>
    </rPh>
    <rPh sb="2" eb="3">
      <t>ブン</t>
    </rPh>
    <phoneticPr fontId="2"/>
  </si>
  <si>
    <t>後期分軽減額</t>
    <rPh sb="3" eb="5">
      <t>ケイゲン</t>
    </rPh>
    <rPh sb="5" eb="6">
      <t>ガク</t>
    </rPh>
    <phoneticPr fontId="2"/>
  </si>
  <si>
    <t>後期分計</t>
    <rPh sb="3" eb="4">
      <t>ケイ</t>
    </rPh>
    <phoneticPr fontId="2"/>
  </si>
  <si>
    <t>後期分</t>
    <phoneticPr fontId="2"/>
  </si>
  <si>
    <t>年　　間</t>
    <rPh sb="0" eb="1">
      <t>ネン</t>
    </rPh>
    <rPh sb="3" eb="4">
      <t>アイダ</t>
    </rPh>
    <phoneticPr fontId="2"/>
  </si>
  <si>
    <t>国民健康保険加入者</t>
    <rPh sb="0" eb="2">
      <t>コクミン</t>
    </rPh>
    <rPh sb="2" eb="4">
      <t>ケンコウ</t>
    </rPh>
    <rPh sb="4" eb="6">
      <t>ホケン</t>
    </rPh>
    <rPh sb="6" eb="8">
      <t>カニュウ</t>
    </rPh>
    <rPh sb="8" eb="9">
      <t>シャ</t>
    </rPh>
    <phoneticPr fontId="2"/>
  </si>
  <si>
    <t>給与収入金額</t>
    <rPh sb="0" eb="2">
      <t>キュウヨ</t>
    </rPh>
    <rPh sb="2" eb="4">
      <t>シュウニュウ</t>
    </rPh>
    <rPh sb="4" eb="5">
      <t>キン</t>
    </rPh>
    <rPh sb="5" eb="6">
      <t>ガク</t>
    </rPh>
    <phoneticPr fontId="2"/>
  </si>
  <si>
    <t>年金収入金額</t>
    <rPh sb="0" eb="2">
      <t>ネンキン</t>
    </rPh>
    <rPh sb="2" eb="4">
      <t>シュウニュウ</t>
    </rPh>
    <rPh sb="4" eb="5">
      <t>キン</t>
    </rPh>
    <rPh sb="5" eb="6">
      <t>ガク</t>
    </rPh>
    <phoneticPr fontId="2"/>
  </si>
  <si>
    <t>※</t>
    <phoneticPr fontId="2"/>
  </si>
  <si>
    <t>・</t>
    <phoneticPr fontId="2"/>
  </si>
  <si>
    <t>（概算）</t>
    <rPh sb="1" eb="3">
      <t>ガイサン</t>
    </rPh>
    <phoneticPr fontId="2"/>
  </si>
  <si>
    <t>事業等その他の所得金額</t>
    <rPh sb="0" eb="2">
      <t>ジギョウ</t>
    </rPh>
    <rPh sb="2" eb="3">
      <t>トウ</t>
    </rPh>
    <rPh sb="5" eb="6">
      <t>タ</t>
    </rPh>
    <rPh sb="7" eb="9">
      <t>ショトク</t>
    </rPh>
    <rPh sb="9" eb="10">
      <t>キン</t>
    </rPh>
    <rPh sb="10" eb="11">
      <t>ガク</t>
    </rPh>
    <phoneticPr fontId="2"/>
  </si>
  <si>
    <t>確定申告書で入力する場合は，給与収入金額欄・年金収入金額欄は入力しないでください。</t>
    <rPh sb="0" eb="2">
      <t>カクテイ</t>
    </rPh>
    <rPh sb="2" eb="4">
      <t>シンコク</t>
    </rPh>
    <rPh sb="4" eb="5">
      <t>ショ</t>
    </rPh>
    <rPh sb="6" eb="8">
      <t>ニュウリョク</t>
    </rPh>
    <rPh sb="10" eb="12">
      <t>バアイ</t>
    </rPh>
    <rPh sb="14" eb="16">
      <t>キュウヨ</t>
    </rPh>
    <rPh sb="16" eb="18">
      <t>シュウニュウ</t>
    </rPh>
    <rPh sb="18" eb="20">
      <t>キンガク</t>
    </rPh>
    <rPh sb="20" eb="21">
      <t>ラン</t>
    </rPh>
    <rPh sb="22" eb="24">
      <t>ネンキン</t>
    </rPh>
    <rPh sb="24" eb="26">
      <t>シュウニュウ</t>
    </rPh>
    <rPh sb="26" eb="28">
      <t>キンガク</t>
    </rPh>
    <rPh sb="28" eb="29">
      <t>ラン</t>
    </rPh>
    <rPh sb="30" eb="32">
      <t>ニュウリョク</t>
    </rPh>
    <phoneticPr fontId="2"/>
  </si>
  <si>
    <t>うち介護保険分対象者数</t>
    <rPh sb="2" eb="4">
      <t>カイゴ</t>
    </rPh>
    <rPh sb="4" eb="6">
      <t>ホケン</t>
    </rPh>
    <rPh sb="6" eb="7">
      <t>ブン</t>
    </rPh>
    <rPh sb="7" eb="9">
      <t>タイショウ</t>
    </rPh>
    <rPh sb="9" eb="10">
      <t>モノ</t>
    </rPh>
    <rPh sb="10" eb="11">
      <t>カズ</t>
    </rPh>
    <phoneticPr fontId="2"/>
  </si>
  <si>
    <t>世帯の課税所得金額</t>
    <rPh sb="0" eb="2">
      <t>セタイ</t>
    </rPh>
    <rPh sb="3" eb="5">
      <t>カゼイ</t>
    </rPh>
    <rPh sb="5" eb="7">
      <t>ショトク</t>
    </rPh>
    <rPh sb="7" eb="8">
      <t>キン</t>
    </rPh>
    <rPh sb="8" eb="9">
      <t>ガク</t>
    </rPh>
    <phoneticPr fontId="2"/>
  </si>
  <si>
    <t>７割</t>
    <rPh sb="1" eb="2">
      <t>ワリ</t>
    </rPh>
    <phoneticPr fontId="2"/>
  </si>
  <si>
    <t>５割</t>
    <rPh sb="1" eb="2">
      <t>ワリ</t>
    </rPh>
    <phoneticPr fontId="2"/>
  </si>
  <si>
    <t>２割</t>
    <rPh sb="1" eb="2">
      <t>ワリ</t>
    </rPh>
    <phoneticPr fontId="2"/>
  </si>
  <si>
    <t>43万円控除</t>
    <rPh sb="2" eb="3">
      <t>マン</t>
    </rPh>
    <rPh sb="3" eb="4">
      <t>エン</t>
    </rPh>
    <rPh sb="4" eb="6">
      <t>コウジョ</t>
    </rPh>
    <phoneticPr fontId="2"/>
  </si>
  <si>
    <t>43万円控除後判定</t>
    <rPh sb="2" eb="4">
      <t>マンエン</t>
    </rPh>
    <rPh sb="4" eb="6">
      <t>コウジョ</t>
    </rPh>
    <rPh sb="6" eb="7">
      <t>ゴ</t>
    </rPh>
    <rPh sb="7" eb="9">
      <t>ハンテイ</t>
    </rPh>
    <phoneticPr fontId="2"/>
  </si>
  <si>
    <t>●次をお読みになり，下表に入力してください。</t>
    <rPh sb="1" eb="2">
      <t>ツギ</t>
    </rPh>
    <rPh sb="4" eb="5">
      <t>ヨ</t>
    </rPh>
    <rPh sb="10" eb="11">
      <t>シタ</t>
    </rPh>
    <rPh sb="11" eb="12">
      <t>ヒョウ</t>
    </rPh>
    <rPh sb="13" eb="15">
      <t>ニュウリョク</t>
    </rPh>
    <phoneticPr fontId="2"/>
  </si>
  <si>
    <t>年金収入金額（厚生年金・国民年金・共済年金・企業年金の源泉徴収票の支払金額の合計）を入力してください。</t>
    <rPh sb="0" eb="2">
      <t>ネンキン</t>
    </rPh>
    <rPh sb="2" eb="4">
      <t>シュウニュウ</t>
    </rPh>
    <rPh sb="4" eb="6">
      <t>キンガク</t>
    </rPh>
    <rPh sb="7" eb="9">
      <t>コウセイ</t>
    </rPh>
    <rPh sb="9" eb="11">
      <t>ネンキン</t>
    </rPh>
    <rPh sb="12" eb="14">
      <t>コクミン</t>
    </rPh>
    <rPh sb="14" eb="16">
      <t>ネンキン</t>
    </rPh>
    <rPh sb="17" eb="19">
      <t>キョウサイ</t>
    </rPh>
    <rPh sb="19" eb="21">
      <t>ネンキン</t>
    </rPh>
    <rPh sb="22" eb="24">
      <t>キギョウ</t>
    </rPh>
    <rPh sb="24" eb="26">
      <t>ネンキン</t>
    </rPh>
    <rPh sb="27" eb="29">
      <t>ゲンセン</t>
    </rPh>
    <rPh sb="29" eb="32">
      <t>チョウシュウヒョウ</t>
    </rPh>
    <rPh sb="33" eb="35">
      <t>シハライ</t>
    </rPh>
    <rPh sb="35" eb="37">
      <t>キンガク</t>
    </rPh>
    <rPh sb="38" eb="40">
      <t>ゴウケイ</t>
    </rPh>
    <rPh sb="42" eb="44">
      <t>ニュウリョク</t>
    </rPh>
    <phoneticPr fontId="2"/>
  </si>
  <si>
    <t>ただし，遺族年金・障害年金は除きます。</t>
    <rPh sb="4" eb="6">
      <t>イゾク</t>
    </rPh>
    <rPh sb="6" eb="8">
      <t>ネンキン</t>
    </rPh>
    <rPh sb="9" eb="13">
      <t>ショウガイネンキン</t>
    </rPh>
    <rPh sb="14" eb="15">
      <t>ノゾ</t>
    </rPh>
    <phoneticPr fontId="2"/>
  </si>
  <si>
    <t>・世帯主及び加入者に所得不明者（未申告者）がいる場合</t>
    <phoneticPr fontId="2"/>
  </si>
  <si>
    <t>★以下の欄（黄色）に半角数字で入力してください。</t>
    <rPh sb="1" eb="3">
      <t>イカ</t>
    </rPh>
    <rPh sb="4" eb="5">
      <t>ラン</t>
    </rPh>
    <rPh sb="6" eb="8">
      <t>キイロ</t>
    </rPh>
    <rPh sb="10" eb="12">
      <t>ハンカク</t>
    </rPh>
    <rPh sb="12" eb="14">
      <t>スウジ</t>
    </rPh>
    <rPh sb="15" eb="17">
      <t>ニュウリョク</t>
    </rPh>
    <phoneticPr fontId="2"/>
  </si>
  <si>
    <r>
      <t>国保に</t>
    </r>
    <r>
      <rPr>
        <b/>
        <sz val="11"/>
        <color rgb="FFFF0000"/>
        <rFont val="HG丸ｺﾞｼｯｸM-PRO"/>
        <family val="3"/>
        <charset val="128"/>
      </rPr>
      <t>加入する</t>
    </r>
    <r>
      <rPr>
        <b/>
        <sz val="11"/>
        <rFont val="HG丸ｺﾞｼｯｸM-PRO"/>
        <family val="3"/>
        <charset val="128"/>
      </rPr>
      <t>世帯主</t>
    </r>
    <rPh sb="0" eb="2">
      <t>コクホ</t>
    </rPh>
    <rPh sb="3" eb="5">
      <t>カニュウ</t>
    </rPh>
    <rPh sb="7" eb="10">
      <t>セタイヌシ</t>
    </rPh>
    <phoneticPr fontId="2"/>
  </si>
  <si>
    <t>収入金額から必要経費を除いた後の所得金額
（各種控除差引前の金額）</t>
    <rPh sb="0" eb="2">
      <t>シュウニュウ</t>
    </rPh>
    <rPh sb="2" eb="4">
      <t>キンガク</t>
    </rPh>
    <rPh sb="6" eb="8">
      <t>ヒツヨウ</t>
    </rPh>
    <rPh sb="8" eb="10">
      <t>ケイヒ</t>
    </rPh>
    <rPh sb="11" eb="12">
      <t>ノゾ</t>
    </rPh>
    <rPh sb="14" eb="15">
      <t>ノチ</t>
    </rPh>
    <rPh sb="16" eb="18">
      <t>ショトク</t>
    </rPh>
    <rPh sb="18" eb="20">
      <t>キンガク</t>
    </rPh>
    <rPh sb="22" eb="24">
      <t>カクシュ</t>
    </rPh>
    <rPh sb="24" eb="26">
      <t>コウジョ</t>
    </rPh>
    <rPh sb="26" eb="28">
      <t>サシヒキ</t>
    </rPh>
    <rPh sb="28" eb="29">
      <t>マエ</t>
    </rPh>
    <rPh sb="30" eb="32">
      <t>キンガク</t>
    </rPh>
    <phoneticPr fontId="2"/>
  </si>
  <si>
    <t>軽減割合</t>
    <phoneticPr fontId="2"/>
  </si>
  <si>
    <t xml:space="preserve">年 齢  </t>
    <rPh sb="0" eb="1">
      <t>ネン</t>
    </rPh>
    <rPh sb="2" eb="3">
      <t>トシ</t>
    </rPh>
    <phoneticPr fontId="2"/>
  </si>
  <si>
    <t>給与所得者等該当</t>
    <rPh sb="0" eb="2">
      <t>キュウヨ</t>
    </rPh>
    <rPh sb="2" eb="4">
      <t>ショトク</t>
    </rPh>
    <rPh sb="4" eb="5">
      <t>シャ</t>
    </rPh>
    <rPh sb="5" eb="6">
      <t>トウ</t>
    </rPh>
    <rPh sb="6" eb="8">
      <t>ガイトウ</t>
    </rPh>
    <phoneticPr fontId="2"/>
  </si>
  <si>
    <t>調整控除計算</t>
    <rPh sb="0" eb="2">
      <t>チョウセイ</t>
    </rPh>
    <rPh sb="2" eb="4">
      <t>コウジョ</t>
    </rPh>
    <rPh sb="4" eb="6">
      <t>ケイサン</t>
    </rPh>
    <phoneticPr fontId="2"/>
  </si>
  <si>
    <t>事業等その他の所得金額（確定申告書Ａは⑧，確定申告書Ｂは⑫の欄の金額）を入力してください。</t>
    <rPh sb="0" eb="2">
      <t>ジギョウ</t>
    </rPh>
    <rPh sb="2" eb="3">
      <t>トウ</t>
    </rPh>
    <rPh sb="5" eb="6">
      <t>タ</t>
    </rPh>
    <rPh sb="7" eb="9">
      <t>ショトク</t>
    </rPh>
    <rPh sb="9" eb="11">
      <t>キンガク</t>
    </rPh>
    <rPh sb="12" eb="14">
      <t>カクテイ</t>
    </rPh>
    <rPh sb="14" eb="16">
      <t>シンコク</t>
    </rPh>
    <rPh sb="16" eb="17">
      <t>ショ</t>
    </rPh>
    <rPh sb="21" eb="23">
      <t>カクテイ</t>
    </rPh>
    <rPh sb="23" eb="25">
      <t>シンコク</t>
    </rPh>
    <rPh sb="25" eb="26">
      <t>ショ</t>
    </rPh>
    <rPh sb="30" eb="31">
      <t>ラン</t>
    </rPh>
    <rPh sb="32" eb="34">
      <t>キンガク</t>
    </rPh>
    <rPh sb="36" eb="38">
      <t>ニュウリョク</t>
    </rPh>
    <phoneticPr fontId="2"/>
  </si>
  <si>
    <t>国民健康保険税は，世帯主（国民健康保険でない場合も含む）に課税されます。</t>
    <rPh sb="0" eb="2">
      <t>コクミン</t>
    </rPh>
    <rPh sb="2" eb="4">
      <t>ケンコウ</t>
    </rPh>
    <rPh sb="4" eb="6">
      <t>ホケン</t>
    </rPh>
    <rPh sb="6" eb="7">
      <t>ゼイ</t>
    </rPh>
    <rPh sb="9" eb="12">
      <t>セタイヌシ</t>
    </rPh>
    <rPh sb="13" eb="15">
      <t>コクミン</t>
    </rPh>
    <rPh sb="15" eb="17">
      <t>ケンコウ</t>
    </rPh>
    <rPh sb="17" eb="19">
      <t>ホケン</t>
    </rPh>
    <rPh sb="22" eb="24">
      <t>バアイ</t>
    </rPh>
    <rPh sb="25" eb="26">
      <t>フク</t>
    </rPh>
    <rPh sb="29" eb="31">
      <t>カゼイ</t>
    </rPh>
    <phoneticPr fontId="2"/>
  </si>
  <si>
    <t>次の場合には，正確な試算ができませんので，直接お問合わせください。</t>
    <rPh sb="0" eb="1">
      <t>ツギ</t>
    </rPh>
    <rPh sb="2" eb="4">
      <t>バアイ</t>
    </rPh>
    <rPh sb="7" eb="9">
      <t>セイカク</t>
    </rPh>
    <rPh sb="10" eb="12">
      <t>シサン</t>
    </rPh>
    <rPh sb="21" eb="23">
      <t>チョクセツ</t>
    </rPh>
    <rPh sb="24" eb="25">
      <t>トイ</t>
    </rPh>
    <rPh sb="25" eb="26">
      <t>ア</t>
    </rPh>
    <phoneticPr fontId="2"/>
  </si>
  <si>
    <t>・分離課税所得，専従者給与・控除，雑損失の繰越控除がある方がいる場合</t>
    <rPh sb="28" eb="29">
      <t>カタ</t>
    </rPh>
    <phoneticPr fontId="2"/>
  </si>
  <si>
    <t>・雇用保険受給資格者（特定受給資格者，特定理由離職者）に対する軽減に該当する方がいる場合</t>
    <rPh sb="1" eb="3">
      <t>コヨウ</t>
    </rPh>
    <rPh sb="3" eb="5">
      <t>ホケン</t>
    </rPh>
    <rPh sb="5" eb="7">
      <t>ジュキュウ</t>
    </rPh>
    <rPh sb="7" eb="10">
      <t>シカクシャ</t>
    </rPh>
    <rPh sb="11" eb="13">
      <t>トクテイ</t>
    </rPh>
    <rPh sb="13" eb="18">
      <t>ジュキュウシカクシャ</t>
    </rPh>
    <rPh sb="19" eb="23">
      <t>トクテイリユウ</t>
    </rPh>
    <rPh sb="23" eb="26">
      <t>リショクシャ</t>
    </rPh>
    <rPh sb="38" eb="39">
      <t>カタ</t>
    </rPh>
    <phoneticPr fontId="2"/>
  </si>
  <si>
    <t>給与収入金額（源泉徴収票の支払金額）が，２か所以上ある方は合計して入力してください。</t>
    <rPh sb="0" eb="2">
      <t>キュウヨ</t>
    </rPh>
    <rPh sb="2" eb="4">
      <t>シュウニュウ</t>
    </rPh>
    <rPh sb="4" eb="6">
      <t>キンガク</t>
    </rPh>
    <rPh sb="7" eb="9">
      <t>ゲンセン</t>
    </rPh>
    <rPh sb="9" eb="12">
      <t>チョウシュウヒョウ</t>
    </rPh>
    <rPh sb="13" eb="15">
      <t>シハライ</t>
    </rPh>
    <rPh sb="15" eb="17">
      <t>キンガク</t>
    </rPh>
    <rPh sb="22" eb="23">
      <t>ショ</t>
    </rPh>
    <rPh sb="23" eb="25">
      <t>イジョウ</t>
    </rPh>
    <rPh sb="27" eb="28">
      <t>カタ</t>
    </rPh>
    <rPh sb="29" eb="31">
      <t>ゴウケイ</t>
    </rPh>
    <rPh sb="33" eb="35">
      <t>ニュウリョク</t>
    </rPh>
    <phoneticPr fontId="2"/>
  </si>
  <si>
    <t>・年度途中で４０歳，６５歳，７５歳になる方がいる場合</t>
    <phoneticPr fontId="2"/>
  </si>
  <si>
    <r>
      <t>国保で</t>
    </r>
    <r>
      <rPr>
        <b/>
        <sz val="11"/>
        <color rgb="FFFF0000"/>
        <rFont val="HG丸ｺﾞｼｯｸM-PRO"/>
        <family val="3"/>
        <charset val="128"/>
      </rPr>
      <t>ない</t>
    </r>
    <r>
      <rPr>
        <b/>
        <sz val="11"/>
        <rFont val="HG丸ｺﾞｼｯｸM-PRO"/>
        <family val="3"/>
        <charset val="128"/>
      </rPr>
      <t>世帯主</t>
    </r>
    <rPh sb="0" eb="2">
      <t>コクホ</t>
    </rPh>
    <rPh sb="5" eb="8">
      <t>セタイヌシ</t>
    </rPh>
    <phoneticPr fontId="2"/>
  </si>
  <si>
    <t>医療保険分</t>
    <rPh sb="0" eb="1">
      <t>イ</t>
    </rPh>
    <rPh sb="1" eb="2">
      <t>リョウ</t>
    </rPh>
    <rPh sb="2" eb="4">
      <t>ホケン</t>
    </rPh>
    <rPh sb="4" eb="5">
      <t>ブン</t>
    </rPh>
    <phoneticPr fontId="2"/>
  </si>
  <si>
    <t>後期高齢者支援金分</t>
    <rPh sb="0" eb="2">
      <t>コウキ</t>
    </rPh>
    <rPh sb="2" eb="5">
      <t>コウレイシャ</t>
    </rPh>
    <rPh sb="5" eb="7">
      <t>シエン</t>
    </rPh>
    <rPh sb="7" eb="8">
      <t>キン</t>
    </rPh>
    <rPh sb="8" eb="9">
      <t>ブン</t>
    </rPh>
    <phoneticPr fontId="2"/>
  </si>
  <si>
    <t>介護保険分</t>
    <rPh sb="0" eb="1">
      <t>スケ</t>
    </rPh>
    <rPh sb="1" eb="2">
      <t>マモル</t>
    </rPh>
    <rPh sb="2" eb="4">
      <t>ホケン</t>
    </rPh>
    <rPh sb="4" eb="5">
      <t>ブン</t>
    </rPh>
    <phoneticPr fontId="2"/>
  </si>
  <si>
    <r>
      <rPr>
        <b/>
        <sz val="9"/>
        <color rgb="FFFF0000"/>
        <rFont val="ＭＳ ゴシック"/>
        <family val="3"/>
        <charset val="128"/>
      </rPr>
      <t>★ 世帯主はどちらかに
   必ず入力してください。</t>
    </r>
    <r>
      <rPr>
        <sz val="9"/>
        <rFont val="ＭＳ ゴシック"/>
        <family val="3"/>
        <charset val="128"/>
      </rPr>
      <t xml:space="preserve">
　　　(軽減判定に必要です。)</t>
    </r>
    <rPh sb="2" eb="5">
      <t>セタイヌシ</t>
    </rPh>
    <rPh sb="15" eb="16">
      <t>カナラ</t>
    </rPh>
    <rPh sb="17" eb="19">
      <t>ニュウリョク</t>
    </rPh>
    <rPh sb="31" eb="33">
      <t>ケイゲン</t>
    </rPh>
    <rPh sb="33" eb="35">
      <t>ハンテイ</t>
    </rPh>
    <rPh sb="36" eb="38">
      <t>ヒツヨウ</t>
    </rPh>
    <phoneticPr fontId="2"/>
  </si>
  <si>
    <t>してください。</t>
    <phoneticPr fontId="2"/>
  </si>
  <si>
    <t>この試算表による税額は概算ですので，実際の税額と異なる場合があります。</t>
    <rPh sb="2" eb="4">
      <t>シサン</t>
    </rPh>
    <rPh sb="4" eb="5">
      <t>ヒョウ</t>
    </rPh>
    <rPh sb="8" eb="10">
      <t>ゼイガク</t>
    </rPh>
    <rPh sb="11" eb="13">
      <t>ガイサン</t>
    </rPh>
    <rPh sb="18" eb="20">
      <t>ジッサイ</t>
    </rPh>
    <rPh sb="21" eb="23">
      <t>ゼイガク</t>
    </rPh>
    <rPh sb="24" eb="25">
      <t>コト</t>
    </rPh>
    <rPh sb="27" eb="29">
      <t>バアイ</t>
    </rPh>
    <phoneticPr fontId="2"/>
  </si>
  <si>
    <t>世帯主の欄は，加入の有無にかかわらず，入力してください。世帯主が国民健康保険でない場合は，「加入者７」の下の行に入力</t>
    <rPh sb="0" eb="3">
      <t>セタイヌシ</t>
    </rPh>
    <rPh sb="4" eb="5">
      <t>ラン</t>
    </rPh>
    <rPh sb="7" eb="9">
      <t>カニュウ</t>
    </rPh>
    <rPh sb="10" eb="12">
      <t>ウム</t>
    </rPh>
    <rPh sb="19" eb="21">
      <t>ニュウリョク</t>
    </rPh>
    <rPh sb="48" eb="49">
      <t>シャ</t>
    </rPh>
    <rPh sb="56" eb="58">
      <t>ニュウリョク</t>
    </rPh>
    <phoneticPr fontId="2"/>
  </si>
  <si>
    <t>非自離</t>
    <rPh sb="0" eb="3">
      <t>ヒジリ</t>
    </rPh>
    <phoneticPr fontId="2"/>
  </si>
  <si>
    <t>非自離用所得</t>
    <rPh sb="0" eb="3">
      <t>ヒジリ</t>
    </rPh>
    <rPh sb="3" eb="4">
      <t>ヨウ</t>
    </rPh>
    <rPh sb="4" eb="6">
      <t>ショトク</t>
    </rPh>
    <phoneticPr fontId="2"/>
  </si>
  <si>
    <t>子ども平等割半額判定</t>
    <rPh sb="0" eb="1">
      <t>コ</t>
    </rPh>
    <rPh sb="3" eb="5">
      <t>ビョウドウ</t>
    </rPh>
    <rPh sb="5" eb="6">
      <t>ワリ</t>
    </rPh>
    <rPh sb="6" eb="8">
      <t>ハンガク</t>
    </rPh>
    <rPh sb="8" eb="10">
      <t>ハンテイ</t>
    </rPh>
    <phoneticPr fontId="2"/>
  </si>
  <si>
    <t>6歳未満人数</t>
    <rPh sb="1" eb="2">
      <t>サイ</t>
    </rPh>
    <rPh sb="2" eb="4">
      <t>ミマン</t>
    </rPh>
    <rPh sb="4" eb="6">
      <t>ニンズウ</t>
    </rPh>
    <phoneticPr fontId="2"/>
  </si>
  <si>
    <t>医療</t>
    <rPh sb="0" eb="2">
      <t>イリョウ</t>
    </rPh>
    <phoneticPr fontId="2"/>
  </si>
  <si>
    <t>後期</t>
    <rPh sb="0" eb="2">
      <t>コウキ</t>
    </rPh>
    <phoneticPr fontId="2"/>
  </si>
  <si>
    <t>子ども軽減金額判定</t>
    <rPh sb="0" eb="1">
      <t>コ</t>
    </rPh>
    <rPh sb="3" eb="5">
      <t>ケイゲン</t>
    </rPh>
    <rPh sb="5" eb="7">
      <t>キンガク</t>
    </rPh>
    <rPh sb="7" eb="9">
      <t>ハンテイ</t>
    </rPh>
    <phoneticPr fontId="2"/>
  </si>
  <si>
    <r>
      <rPr>
        <b/>
        <sz val="11"/>
        <color rgb="FFFF0000"/>
        <rFont val="HG丸ｺﾞｼｯｸM-PRO"/>
        <family val="3"/>
        <charset val="128"/>
      </rPr>
      <t>令和４年度</t>
    </r>
    <r>
      <rPr>
        <b/>
        <sz val="11"/>
        <rFont val="HG丸ｺﾞｼｯｸM-PRO"/>
        <family val="3"/>
        <charset val="128"/>
      </rPr>
      <t>国民健康保険税の年間概算額が計算できます。</t>
    </r>
    <rPh sb="0" eb="1">
      <t>レイ</t>
    </rPh>
    <rPh sb="1" eb="2">
      <t>カズ</t>
    </rPh>
    <rPh sb="3" eb="5">
      <t>ネンド</t>
    </rPh>
    <rPh sb="5" eb="7">
      <t>コクミン</t>
    </rPh>
    <rPh sb="7" eb="9">
      <t>ケンコウ</t>
    </rPh>
    <rPh sb="9" eb="11">
      <t>ホケン</t>
    </rPh>
    <rPh sb="11" eb="12">
      <t>ゼイ</t>
    </rPh>
    <rPh sb="12" eb="14">
      <t>ヘイネンド</t>
    </rPh>
    <rPh sb="13" eb="14">
      <t>ネン</t>
    </rPh>
    <rPh sb="14" eb="15">
      <t>カン</t>
    </rPh>
    <rPh sb="15" eb="17">
      <t>ガイサン</t>
    </rPh>
    <rPh sb="17" eb="18">
      <t>ガク</t>
    </rPh>
    <rPh sb="19" eb="21">
      <t>ケイサン</t>
    </rPh>
    <phoneticPr fontId="2"/>
  </si>
  <si>
    <r>
      <rPr>
        <b/>
        <sz val="10"/>
        <rFont val="ＭＳ ゴシック"/>
        <family val="3"/>
        <charset val="128"/>
      </rPr>
      <t>令和３年分</t>
    </r>
    <r>
      <rPr>
        <b/>
        <sz val="9"/>
        <rFont val="ＭＳ ゴシック"/>
        <family val="3"/>
        <charset val="128"/>
      </rPr>
      <t xml:space="preserve">の
</t>
    </r>
    <r>
      <rPr>
        <b/>
        <sz val="10"/>
        <rFont val="ＭＳ ゴシック"/>
        <family val="3"/>
        <charset val="128"/>
      </rPr>
      <t>年間収入</t>
    </r>
    <rPh sb="0" eb="2">
      <t>レイワ</t>
    </rPh>
    <rPh sb="3" eb="5">
      <t>ネンブン</t>
    </rPh>
    <rPh sb="7" eb="9">
      <t>ネンカン</t>
    </rPh>
    <rPh sb="9" eb="11">
      <t>シュウニュウ</t>
    </rPh>
    <phoneticPr fontId="2"/>
  </si>
  <si>
    <r>
      <t>　　　　　</t>
    </r>
    <r>
      <rPr>
        <b/>
        <sz val="10"/>
        <rFont val="ＭＳ ゴシック"/>
        <family val="3"/>
        <charset val="128"/>
      </rPr>
      <t>年　齢</t>
    </r>
    <r>
      <rPr>
        <b/>
        <sz val="9"/>
        <rFont val="ＭＳ ゴシック"/>
        <family val="3"/>
        <charset val="128"/>
      </rPr>
      <t xml:space="preserve">
　※１歳未満は０歳と入力</t>
    </r>
    <rPh sb="5" eb="6">
      <t>ネン</t>
    </rPh>
    <rPh sb="7" eb="8">
      <t>トシ</t>
    </rPh>
    <rPh sb="12" eb="14">
      <t>ミマン</t>
    </rPh>
    <rPh sb="19" eb="21">
      <t>ニュウリョク</t>
    </rPh>
    <phoneticPr fontId="2"/>
  </si>
  <si>
    <t>加入する方の年齢を入力してください。（所得がない扶養家族の方も，年齢を入力してください。）</t>
    <rPh sb="0" eb="2">
      <t>カニュウ</t>
    </rPh>
    <rPh sb="4" eb="5">
      <t>カタ</t>
    </rPh>
    <rPh sb="6" eb="8">
      <t>ネンレイ</t>
    </rPh>
    <rPh sb="9" eb="11">
      <t>ニュウリョク</t>
    </rPh>
    <rPh sb="19" eb="21">
      <t>ショトク</t>
    </rPh>
    <rPh sb="24" eb="26">
      <t>フヨウ</t>
    </rPh>
    <rPh sb="26" eb="28">
      <t>カゾク</t>
    </rPh>
    <rPh sb="29" eb="30">
      <t>カタ</t>
    </rPh>
    <rPh sb="32" eb="34">
      <t>ネンレイ</t>
    </rPh>
    <rPh sb="35" eb="37">
      <t>ニュウリョク</t>
    </rPh>
    <phoneticPr fontId="2"/>
  </si>
  <si>
    <r>
      <rPr>
        <b/>
        <sz val="11"/>
        <color rgb="FFFF0000"/>
        <rFont val="HG丸ｺﾞｼｯｸM-PRO"/>
        <family val="3"/>
        <charset val="128"/>
      </rPr>
      <t>令和５年度</t>
    </r>
    <r>
      <rPr>
        <b/>
        <sz val="11"/>
        <rFont val="HG丸ｺﾞｼｯｸM-PRO"/>
        <family val="3"/>
        <charset val="128"/>
      </rPr>
      <t>国民健康保険税の年間概算額が計算できます。</t>
    </r>
    <rPh sb="0" eb="1">
      <t>レイ</t>
    </rPh>
    <rPh sb="1" eb="2">
      <t>カズ</t>
    </rPh>
    <rPh sb="3" eb="5">
      <t>ネンド</t>
    </rPh>
    <rPh sb="5" eb="7">
      <t>コクミン</t>
    </rPh>
    <rPh sb="7" eb="9">
      <t>ケンコウ</t>
    </rPh>
    <rPh sb="9" eb="11">
      <t>ホケン</t>
    </rPh>
    <rPh sb="11" eb="12">
      <t>ゼイ</t>
    </rPh>
    <rPh sb="12" eb="14">
      <t>ヘイネンド</t>
    </rPh>
    <rPh sb="13" eb="14">
      <t>ネン</t>
    </rPh>
    <rPh sb="14" eb="15">
      <t>カン</t>
    </rPh>
    <rPh sb="15" eb="17">
      <t>ガイサン</t>
    </rPh>
    <rPh sb="17" eb="18">
      <t>ガク</t>
    </rPh>
    <rPh sb="19" eb="21">
      <t>ケイサン</t>
    </rPh>
    <phoneticPr fontId="2"/>
  </si>
  <si>
    <t>令和４年度の税額です。４月以降の試算の場合は　　　　　　　　　　　令和５年度シートを使ってください。</t>
    <rPh sb="0" eb="2">
      <t>レイワ</t>
    </rPh>
    <rPh sb="3" eb="5">
      <t>ネンド</t>
    </rPh>
    <rPh sb="6" eb="8">
      <t>ゼイガク</t>
    </rPh>
    <rPh sb="12" eb="13">
      <t>ガツ</t>
    </rPh>
    <rPh sb="13" eb="15">
      <t>イコウ</t>
    </rPh>
    <rPh sb="16" eb="18">
      <t>シサン</t>
    </rPh>
    <rPh sb="19" eb="21">
      <t>バアイ</t>
    </rPh>
    <rPh sb="33" eb="35">
      <t>レイワ</t>
    </rPh>
    <rPh sb="36" eb="38">
      <t>ネンド</t>
    </rPh>
    <rPh sb="42" eb="43">
      <t>ツカ</t>
    </rPh>
    <phoneticPr fontId="2"/>
  </si>
  <si>
    <t>パスワード</t>
    <phoneticPr fontId="2"/>
  </si>
  <si>
    <r>
      <rPr>
        <b/>
        <sz val="10"/>
        <rFont val="ＭＳ ゴシック"/>
        <family val="3"/>
        <charset val="128"/>
      </rPr>
      <t>令和４年分</t>
    </r>
    <r>
      <rPr>
        <b/>
        <sz val="9"/>
        <rFont val="ＭＳ ゴシック"/>
        <family val="3"/>
        <charset val="128"/>
      </rPr>
      <t xml:space="preserve">の
</t>
    </r>
    <r>
      <rPr>
        <b/>
        <sz val="10"/>
        <rFont val="ＭＳ ゴシック"/>
        <family val="3"/>
        <charset val="128"/>
      </rPr>
      <t>年間収入</t>
    </r>
    <rPh sb="0" eb="2">
      <t>レイワ</t>
    </rPh>
    <rPh sb="3" eb="5">
      <t>ネンブン</t>
    </rPh>
    <rPh sb="7" eb="9">
      <t>ネンカン</t>
    </rPh>
    <rPh sb="9" eb="11">
      <t>シュウニュウ</t>
    </rPh>
    <phoneticPr fontId="2"/>
  </si>
  <si>
    <r>
      <rPr>
        <b/>
        <sz val="11"/>
        <color rgb="FFFF0000"/>
        <rFont val="HG丸ｺﾞｼｯｸM-PRO"/>
        <family val="3"/>
        <charset val="128"/>
      </rPr>
      <t>令和６年度</t>
    </r>
    <r>
      <rPr>
        <b/>
        <sz val="11"/>
        <rFont val="HG丸ｺﾞｼｯｸM-PRO"/>
        <family val="3"/>
        <charset val="128"/>
      </rPr>
      <t>国民健康保険税の年間概算額が計算できます。</t>
    </r>
    <rPh sb="0" eb="1">
      <t>レイ</t>
    </rPh>
    <rPh sb="1" eb="2">
      <t>カズ</t>
    </rPh>
    <rPh sb="3" eb="5">
      <t>ネンド</t>
    </rPh>
    <rPh sb="5" eb="7">
      <t>コクミン</t>
    </rPh>
    <rPh sb="7" eb="9">
      <t>ケンコウ</t>
    </rPh>
    <rPh sb="9" eb="11">
      <t>ホケン</t>
    </rPh>
    <rPh sb="11" eb="12">
      <t>ゼイ</t>
    </rPh>
    <rPh sb="12" eb="14">
      <t>ヘイネンド</t>
    </rPh>
    <rPh sb="13" eb="14">
      <t>ネン</t>
    </rPh>
    <rPh sb="14" eb="15">
      <t>カン</t>
    </rPh>
    <rPh sb="15" eb="17">
      <t>ガイサン</t>
    </rPh>
    <rPh sb="17" eb="18">
      <t>ガク</t>
    </rPh>
    <rPh sb="19" eb="21">
      <t>ケイサン</t>
    </rPh>
    <phoneticPr fontId="2"/>
  </si>
  <si>
    <r>
      <rPr>
        <b/>
        <sz val="10"/>
        <rFont val="ＭＳ ゴシック"/>
        <family val="3"/>
        <charset val="128"/>
      </rPr>
      <t>令和５年分</t>
    </r>
    <r>
      <rPr>
        <b/>
        <sz val="9"/>
        <rFont val="ＭＳ ゴシック"/>
        <family val="3"/>
        <charset val="128"/>
      </rPr>
      <t xml:space="preserve">の
</t>
    </r>
    <r>
      <rPr>
        <b/>
        <sz val="10"/>
        <rFont val="ＭＳ ゴシック"/>
        <family val="3"/>
        <charset val="128"/>
      </rPr>
      <t>年間収入</t>
    </r>
    <rPh sb="0" eb="2">
      <t>レイワ</t>
    </rPh>
    <rPh sb="3" eb="5">
      <t>ネンブン</t>
    </rPh>
    <rPh sb="7" eb="9">
      <t>ネンカン</t>
    </rPh>
    <rPh sb="9" eb="11">
      <t>シュウニュウ</t>
    </rPh>
    <phoneticPr fontId="2"/>
  </si>
  <si>
    <t>・分離課税所得，専従者給与控除，雑損失の繰越控除がある方がいる場合</t>
    <rPh sb="27" eb="28">
      <t>カタ</t>
    </rPh>
    <phoneticPr fontId="2"/>
  </si>
  <si>
    <t>介護納付金分</t>
    <rPh sb="0" eb="1">
      <t>スケ</t>
    </rPh>
    <rPh sb="1" eb="2">
      <t>マモル</t>
    </rPh>
    <rPh sb="2" eb="5">
      <t>ノウフキン</t>
    </rPh>
    <rPh sb="5" eb="6">
      <t>ブン</t>
    </rPh>
    <phoneticPr fontId="2"/>
  </si>
  <si>
    <t>うち介護納付金分対象者数</t>
    <rPh sb="2" eb="4">
      <t>カイゴ</t>
    </rPh>
    <rPh sb="4" eb="7">
      <t>ノウフキン</t>
    </rPh>
    <rPh sb="7" eb="8">
      <t>ブン</t>
    </rPh>
    <rPh sb="8" eb="10">
      <t>タイショウ</t>
    </rPh>
    <rPh sb="10" eb="11">
      <t>モノ</t>
    </rPh>
    <rPh sb="11" eb="12">
      <t>カズ</t>
    </rPh>
    <phoneticPr fontId="2"/>
  </si>
  <si>
    <t>所得調整控除</t>
    <rPh sb="0" eb="2">
      <t>ショトク</t>
    </rPh>
    <rPh sb="2" eb="4">
      <t>チョウセイ</t>
    </rPh>
    <rPh sb="4" eb="6">
      <t>コウジョ</t>
    </rPh>
    <phoneticPr fontId="2"/>
  </si>
  <si>
    <t>調整控除計算（年金）</t>
    <rPh sb="0" eb="2">
      <t>チョウセイ</t>
    </rPh>
    <rPh sb="2" eb="4">
      <t>コウジョ</t>
    </rPh>
    <rPh sb="4" eb="6">
      <t>ケイサン</t>
    </rPh>
    <rPh sb="7" eb="9">
      <t>ネンキン</t>
    </rPh>
    <phoneticPr fontId="2"/>
  </si>
  <si>
    <t>調整控除計算（給与）</t>
    <rPh sb="0" eb="2">
      <t>チョウセイ</t>
    </rPh>
    <rPh sb="2" eb="4">
      <t>コウジョ</t>
    </rPh>
    <rPh sb="4" eb="6">
      <t>ケイサン</t>
    </rPh>
    <rPh sb="7" eb="9">
      <t>キュウヨ</t>
    </rPh>
    <phoneticPr fontId="2"/>
  </si>
  <si>
    <t>年金所得（65以上）</t>
    <rPh sb="0" eb="2">
      <t>ネンキン</t>
    </rPh>
    <rPh sb="2" eb="4">
      <t>ショトク</t>
    </rPh>
    <rPh sb="7" eb="9">
      <t>イジョウ</t>
    </rPh>
    <phoneticPr fontId="2"/>
  </si>
  <si>
    <t>年金所得（64以下）</t>
    <rPh sb="0" eb="2">
      <t>ネンキン</t>
    </rPh>
    <rPh sb="2" eb="4">
      <t>ショトク</t>
    </rPh>
    <rPh sb="7" eb="9">
      <t>イカ</t>
    </rPh>
    <phoneticPr fontId="2"/>
  </si>
  <si>
    <t>軽減用年金所得</t>
    <rPh sb="0" eb="2">
      <t>ケイゲン</t>
    </rPh>
    <rPh sb="2" eb="3">
      <t>ヨウ</t>
    </rPh>
    <rPh sb="3" eb="5">
      <t>ネンキン</t>
    </rPh>
    <rPh sb="5" eb="7">
      <t>ショトク</t>
    </rPh>
    <phoneticPr fontId="2"/>
  </si>
  <si>
    <t xml:space="preserve">年金所得判定②
</t>
    <rPh sb="0" eb="2">
      <t>ネンキン</t>
    </rPh>
    <rPh sb="2" eb="4">
      <t>ショトク</t>
    </rPh>
    <rPh sb="4" eb="6">
      <t>ハンテイ</t>
    </rPh>
    <phoneticPr fontId="2"/>
  </si>
  <si>
    <t>所得計(①+②+③)</t>
    <rPh sb="0" eb="2">
      <t>ショトク</t>
    </rPh>
    <rPh sb="2" eb="3">
      <t>ケイ</t>
    </rPh>
    <phoneticPr fontId="2"/>
  </si>
  <si>
    <t xml:space="preserve">
軽減判定用所得計</t>
    <rPh sb="1" eb="3">
      <t>ケイゲン</t>
    </rPh>
    <rPh sb="3" eb="5">
      <t>ハンテイ</t>
    </rPh>
    <rPh sb="5" eb="6">
      <t>ヨウ</t>
    </rPh>
    <rPh sb="6" eb="8">
      <t>ショトク</t>
    </rPh>
    <rPh sb="8" eb="9">
      <t>ケイ</t>
    </rPh>
    <phoneticPr fontId="2"/>
  </si>
  <si>
    <t>給与所得
（収入から計算）</t>
    <rPh sb="0" eb="2">
      <t>キュウヨ</t>
    </rPh>
    <rPh sb="2" eb="4">
      <t>ショトク</t>
    </rPh>
    <rPh sb="6" eb="8">
      <t>シュウニュウ</t>
    </rPh>
    <rPh sb="10" eb="12">
      <t>ケイサン</t>
    </rPh>
    <phoneticPr fontId="2"/>
  </si>
  <si>
    <t>介護除外</t>
    <rPh sb="0" eb="2">
      <t>カイゴ</t>
    </rPh>
    <rPh sb="2" eb="4">
      <t>ジョガイ</t>
    </rPh>
    <phoneticPr fontId="2"/>
  </si>
  <si>
    <t>令和５年分の
専従者給与控除(+)・譲渡所得特別控除(+)・雑損失控除(-)</t>
    <rPh sb="0" eb="2">
      <t>レイワ</t>
    </rPh>
    <rPh sb="3" eb="5">
      <t>ネンブン</t>
    </rPh>
    <rPh sb="7" eb="10">
      <t>センジュウシャ</t>
    </rPh>
    <rPh sb="10" eb="12">
      <t>キュウヨ</t>
    </rPh>
    <rPh sb="12" eb="14">
      <t>コウジョ</t>
    </rPh>
    <rPh sb="18" eb="20">
      <t>ジョウト</t>
    </rPh>
    <rPh sb="20" eb="22">
      <t>ショトク</t>
    </rPh>
    <rPh sb="22" eb="24">
      <t>トクベツ</t>
    </rPh>
    <rPh sb="24" eb="26">
      <t>コウジョ</t>
    </rPh>
    <rPh sb="30" eb="33">
      <t>ザツソンシツ</t>
    </rPh>
    <rPh sb="33" eb="35">
      <t>コウジョ</t>
    </rPh>
    <phoneticPr fontId="2"/>
  </si>
  <si>
    <t>軽減判定のみ影響のある控除</t>
    <rPh sb="0" eb="2">
      <t>ケイゲン</t>
    </rPh>
    <rPh sb="2" eb="4">
      <t>ハンテイ</t>
    </rPh>
    <rPh sb="6" eb="8">
      <t>エイキョウ</t>
    </rPh>
    <rPh sb="11" eb="13">
      <t>コウジョ</t>
    </rPh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</si>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</sst>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;[Red]\-#,##0.0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  <font>
      <b/>
      <sz val="22"/>
      <color theme="0"/>
      <name val="HG丸ｺﾞｼｯｸM-PRO"/>
      <family val="3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0"/>
      <color rgb="FFFF0000"/>
      <name val="ＭＳ Ｐ明朝"/>
      <family val="1"/>
      <charset val="128"/>
    </font>
    <font>
      <b/>
      <sz val="14"/>
      <color rgb="FFFFFF00"/>
      <name val="HG丸ｺﾞｼｯｸM-PRO"/>
      <family val="3"/>
      <charset val="128"/>
    </font>
    <font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11"/>
      <color rgb="FFFF0000"/>
      <name val="HG丸ｺﾞｼｯｸM-PRO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2"/>
      <color rgb="FFFF0000"/>
      <name val="HGS創英角ｺﾞｼｯｸUB"/>
      <family val="3"/>
      <charset val="128"/>
    </font>
    <font>
      <sz val="11"/>
      <color theme="4" tint="0.79998168889431442"/>
      <name val="ＭＳ Ｐ明朝"/>
      <family val="1"/>
      <charset val="128"/>
    </font>
    <font>
      <sz val="11"/>
      <color theme="4" tint="0.79998168889431442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325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2" xfId="0" applyFont="1" applyBorder="1" applyAlignment="1">
      <alignment horizontal="center" vertical="center" wrapText="1"/>
    </xf>
    <xf numFmtId="176" fontId="0" fillId="0" borderId="1" xfId="0" applyNumberFormat="1" applyBorder="1"/>
    <xf numFmtId="176" fontId="0" fillId="0" borderId="0" xfId="0" applyNumberFormat="1" applyBorder="1"/>
    <xf numFmtId="0" fontId="0" fillId="0" borderId="2" xfId="0" applyBorder="1" applyAlignment="1">
      <alignment horizontal="center" vertical="center"/>
    </xf>
    <xf numFmtId="0" fontId="0" fillId="0" borderId="0" xfId="0" applyProtection="1"/>
    <xf numFmtId="38" fontId="0" fillId="0" borderId="3" xfId="3" applyFont="1" applyBorder="1" applyAlignment="1">
      <alignment horizontal="right" vertical="center"/>
    </xf>
    <xf numFmtId="38" fontId="0" fillId="0" borderId="2" xfId="3" applyFont="1" applyBorder="1" applyAlignment="1">
      <alignment horizontal="right" vertical="center"/>
    </xf>
    <xf numFmtId="38" fontId="0" fillId="0" borderId="5" xfId="3" applyFont="1" applyBorder="1" applyAlignment="1">
      <alignment horizontal="right" vertical="center"/>
    </xf>
    <xf numFmtId="38" fontId="0" fillId="0" borderId="2" xfId="3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vertical="center" wrapText="1"/>
    </xf>
    <xf numFmtId="0" fontId="5" fillId="0" borderId="0" xfId="0" applyFont="1" applyBorder="1" applyProtection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38" fontId="0" fillId="0" borderId="0" xfId="3" applyFont="1"/>
    <xf numFmtId="0" fontId="4" fillId="0" borderId="0" xfId="0" applyFont="1"/>
    <xf numFmtId="0" fontId="4" fillId="0" borderId="0" xfId="0" applyFont="1" applyAlignment="1">
      <alignment horizontal="right"/>
    </xf>
    <xf numFmtId="38" fontId="0" fillId="0" borderId="0" xfId="3" applyFont="1" applyBorder="1"/>
    <xf numFmtId="0" fontId="0" fillId="0" borderId="0" xfId="0" applyBorder="1"/>
    <xf numFmtId="0" fontId="4" fillId="0" borderId="1" xfId="0" applyFont="1" applyBorder="1" applyAlignment="1">
      <alignment horizontal="right"/>
    </xf>
    <xf numFmtId="38" fontId="0" fillId="0" borderId="1" xfId="3" applyFont="1" applyBorder="1"/>
    <xf numFmtId="0" fontId="4" fillId="2" borderId="1" xfId="0" applyFont="1" applyFill="1" applyBorder="1" applyAlignment="1">
      <alignment horizontal="right" shrinkToFit="1"/>
    </xf>
    <xf numFmtId="38" fontId="1" fillId="2" borderId="1" xfId="3" applyFont="1" applyFill="1" applyBorder="1"/>
    <xf numFmtId="0" fontId="4" fillId="0" borderId="0" xfId="0" applyFont="1" applyFill="1" applyBorder="1" applyAlignment="1">
      <alignment horizontal="right" shrinkToFit="1"/>
    </xf>
    <xf numFmtId="38" fontId="0" fillId="0" borderId="0" xfId="3" applyFont="1" applyFill="1" applyBorder="1"/>
    <xf numFmtId="0" fontId="0" fillId="0" borderId="2" xfId="0" applyFont="1" applyBorder="1" applyAlignment="1">
      <alignment horizontal="center" vertical="center"/>
    </xf>
    <xf numFmtId="38" fontId="0" fillId="0" borderId="4" xfId="3" applyFont="1" applyBorder="1" applyAlignment="1">
      <alignment vertic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right"/>
    </xf>
    <xf numFmtId="0" fontId="0" fillId="0" borderId="2" xfId="0" applyFont="1" applyFill="1" applyBorder="1" applyAlignment="1">
      <alignment horizontal="center" vertical="center" shrinkToFit="1"/>
    </xf>
    <xf numFmtId="38" fontId="0" fillId="0" borderId="6" xfId="3" applyFont="1" applyBorder="1" applyAlignment="1">
      <alignment vertical="center"/>
    </xf>
    <xf numFmtId="38" fontId="0" fillId="0" borderId="7" xfId="3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 wrapText="1"/>
    </xf>
    <xf numFmtId="38" fontId="0" fillId="0" borderId="7" xfId="3" applyFont="1" applyBorder="1"/>
    <xf numFmtId="38" fontId="0" fillId="0" borderId="5" xfId="3" applyFont="1" applyBorder="1"/>
    <xf numFmtId="177" fontId="0" fillId="0" borderId="1" xfId="3" applyNumberFormat="1" applyFont="1" applyBorder="1"/>
    <xf numFmtId="38" fontId="0" fillId="0" borderId="1" xfId="3" applyFont="1" applyBorder="1" applyAlignment="1">
      <alignment horizontal="center"/>
    </xf>
    <xf numFmtId="0" fontId="10" fillId="0" borderId="0" xfId="0" applyFont="1" applyAlignment="1"/>
    <xf numFmtId="0" fontId="5" fillId="0" borderId="0" xfId="2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0" fontId="0" fillId="0" borderId="1" xfId="1" applyNumberFormat="1" applyFont="1" applyBorder="1"/>
    <xf numFmtId="0" fontId="0" fillId="0" borderId="0" xfId="0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4" borderId="12" xfId="0" applyFill="1" applyBorder="1" applyProtection="1"/>
    <xf numFmtId="0" fontId="0" fillId="4" borderId="0" xfId="0" applyFill="1" applyBorder="1" applyProtection="1"/>
    <xf numFmtId="0" fontId="12" fillId="4" borderId="0" xfId="0" applyFont="1" applyFill="1" applyBorder="1" applyProtection="1"/>
    <xf numFmtId="0" fontId="13" fillId="4" borderId="0" xfId="0" applyFont="1" applyFill="1" applyBorder="1" applyProtection="1"/>
    <xf numFmtId="0" fontId="15" fillId="4" borderId="0" xfId="0" applyFont="1" applyFill="1" applyBorder="1" applyProtection="1"/>
    <xf numFmtId="0" fontId="0" fillId="4" borderId="13" xfId="0" applyFill="1" applyBorder="1" applyProtection="1"/>
    <xf numFmtId="0" fontId="16" fillId="4" borderId="0" xfId="0" applyFont="1" applyFill="1" applyBorder="1" applyProtection="1"/>
    <xf numFmtId="0" fontId="17" fillId="5" borderId="12" xfId="0" applyFont="1" applyFill="1" applyBorder="1" applyAlignment="1" applyProtection="1">
      <alignment vertical="center"/>
    </xf>
    <xf numFmtId="0" fontId="19" fillId="5" borderId="13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4" borderId="12" xfId="0" applyFont="1" applyFill="1" applyBorder="1" applyProtection="1"/>
    <xf numFmtId="0" fontId="8" fillId="4" borderId="0" xfId="0" applyFont="1" applyFill="1" applyBorder="1" applyProtection="1"/>
    <xf numFmtId="0" fontId="20" fillId="4" borderId="0" xfId="0" applyFont="1" applyFill="1" applyBorder="1" applyAlignment="1" applyProtection="1">
      <alignment horizontal="center"/>
    </xf>
    <xf numFmtId="0" fontId="20" fillId="4" borderId="0" xfId="0" applyFont="1" applyFill="1" applyBorder="1" applyProtection="1"/>
    <xf numFmtId="0" fontId="20" fillId="4" borderId="13" xfId="0" applyFont="1" applyFill="1" applyBorder="1" applyProtection="1"/>
    <xf numFmtId="0" fontId="21" fillId="4" borderId="0" xfId="0" applyFont="1" applyFill="1" applyBorder="1" applyProtection="1"/>
    <xf numFmtId="0" fontId="22" fillId="4" borderId="0" xfId="0" applyFont="1" applyFill="1" applyBorder="1" applyProtection="1"/>
    <xf numFmtId="0" fontId="20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vertical="center" wrapText="1"/>
    </xf>
    <xf numFmtId="0" fontId="20" fillId="4" borderId="13" xfId="0" applyFont="1" applyFill="1" applyBorder="1" applyAlignment="1" applyProtection="1">
      <alignment vertical="center" wrapText="1"/>
    </xf>
    <xf numFmtId="0" fontId="11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5" fillId="4" borderId="0" xfId="0" applyFont="1" applyFill="1" applyBorder="1" applyProtection="1"/>
    <xf numFmtId="0" fontId="5" fillId="4" borderId="13" xfId="0" applyFont="1" applyFill="1" applyBorder="1" applyProtection="1"/>
    <xf numFmtId="0" fontId="0" fillId="4" borderId="12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 applyProtection="1">
      <alignment vertical="center"/>
    </xf>
    <xf numFmtId="0" fontId="24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13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right" vertical="center"/>
    </xf>
    <xf numFmtId="0" fontId="24" fillId="4" borderId="0" xfId="0" applyFont="1" applyFill="1" applyBorder="1" applyAlignment="1" applyProtection="1">
      <alignment horizontal="right" vertical="center"/>
    </xf>
    <xf numFmtId="0" fontId="25" fillId="4" borderId="0" xfId="0" applyFont="1" applyFill="1" applyBorder="1" applyAlignment="1" applyProtection="1">
      <alignment vertical="center"/>
    </xf>
    <xf numFmtId="0" fontId="26" fillId="4" borderId="0" xfId="0" applyFont="1" applyFill="1" applyBorder="1" applyAlignment="1">
      <alignment vertical="center"/>
    </xf>
    <xf numFmtId="0" fontId="27" fillId="4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6" fillId="4" borderId="13" xfId="0" applyFont="1" applyFill="1" applyBorder="1" applyAlignment="1" applyProtection="1">
      <alignment vertical="center"/>
    </xf>
    <xf numFmtId="0" fontId="0" fillId="4" borderId="12" xfId="0" applyFill="1" applyBorder="1" applyAlignment="1" applyProtection="1">
      <alignment vertical="top"/>
    </xf>
    <xf numFmtId="0" fontId="0" fillId="4" borderId="0" xfId="0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horizontal="right" vertical="top"/>
    </xf>
    <xf numFmtId="0" fontId="24" fillId="4" borderId="0" xfId="0" applyFont="1" applyFill="1" applyBorder="1" applyAlignment="1" applyProtection="1">
      <alignment horizontal="right" vertical="top"/>
    </xf>
    <xf numFmtId="0" fontId="21" fillId="4" borderId="0" xfId="0" applyFont="1" applyFill="1" applyBorder="1" applyAlignment="1" applyProtection="1">
      <alignment vertical="top"/>
    </xf>
    <xf numFmtId="0" fontId="25" fillId="4" borderId="0" xfId="0" applyFont="1" applyFill="1" applyBorder="1" applyAlignment="1" applyProtection="1">
      <alignment vertical="top"/>
    </xf>
    <xf numFmtId="0" fontId="26" fillId="4" borderId="0" xfId="0" applyFont="1" applyFill="1" applyBorder="1" applyAlignment="1">
      <alignment vertical="top"/>
    </xf>
    <xf numFmtId="0" fontId="27" fillId="4" borderId="0" xfId="0" applyFont="1" applyFill="1" applyBorder="1" applyAlignment="1" applyProtection="1">
      <alignment vertical="top"/>
    </xf>
    <xf numFmtId="0" fontId="6" fillId="4" borderId="0" xfId="0" applyFont="1" applyFill="1" applyBorder="1" applyAlignment="1" applyProtection="1">
      <alignment vertical="top"/>
    </xf>
    <xf numFmtId="0" fontId="6" fillId="4" borderId="13" xfId="0" applyFont="1" applyFill="1" applyBorder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0" fillId="0" borderId="0" xfId="0" applyAlignment="1">
      <alignment vertical="top"/>
    </xf>
    <xf numFmtId="0" fontId="0" fillId="4" borderId="15" xfId="0" applyFill="1" applyBorder="1" applyProtection="1"/>
    <xf numFmtId="0" fontId="15" fillId="0" borderId="2" xfId="0" applyFont="1" applyBorder="1" applyAlignment="1" applyProtection="1">
      <alignment horizontal="center" vertical="center"/>
    </xf>
    <xf numFmtId="38" fontId="15" fillId="0" borderId="2" xfId="3" applyFont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176" fontId="5" fillId="4" borderId="0" xfId="0" applyNumberFormat="1" applyFont="1" applyFill="1" applyBorder="1" applyAlignment="1" applyProtection="1">
      <alignment horizontal="right" vertical="center"/>
    </xf>
    <xf numFmtId="0" fontId="15" fillId="4" borderId="0" xfId="0" applyFont="1" applyFill="1" applyBorder="1" applyAlignment="1" applyProtection="1">
      <alignment vertical="center"/>
    </xf>
    <xf numFmtId="0" fontId="0" fillId="8" borderId="0" xfId="0" applyFill="1" applyProtection="1"/>
    <xf numFmtId="0" fontId="0" fillId="8" borderId="0" xfId="0" applyFill="1"/>
    <xf numFmtId="0" fontId="15" fillId="0" borderId="9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0" fillId="4" borderId="18" xfId="0" applyFill="1" applyBorder="1" applyProtection="1"/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top"/>
    </xf>
    <xf numFmtId="0" fontId="0" fillId="4" borderId="17" xfId="0" applyFill="1" applyBorder="1" applyProtection="1"/>
    <xf numFmtId="0" fontId="0" fillId="4" borderId="19" xfId="0" applyFill="1" applyBorder="1" applyProtection="1"/>
    <xf numFmtId="0" fontId="12" fillId="4" borderId="19" xfId="0" applyFont="1" applyFill="1" applyBorder="1" applyProtection="1"/>
    <xf numFmtId="0" fontId="13" fillId="4" borderId="19" xfId="0" applyFont="1" applyFill="1" applyBorder="1" applyProtection="1"/>
    <xf numFmtId="0" fontId="15" fillId="4" borderId="19" xfId="0" applyFont="1" applyFill="1" applyBorder="1" applyProtection="1"/>
    <xf numFmtId="0" fontId="0" fillId="4" borderId="20" xfId="0" applyFill="1" applyBorder="1" applyProtection="1"/>
    <xf numFmtId="0" fontId="0" fillId="4" borderId="21" xfId="0" applyFill="1" applyBorder="1" applyProtection="1"/>
    <xf numFmtId="38" fontId="0" fillId="0" borderId="5" xfId="3" applyFont="1" applyBorder="1" applyAlignment="1">
      <alignment horizontal="right" vertical="center"/>
    </xf>
    <xf numFmtId="38" fontId="0" fillId="0" borderId="4" xfId="3" applyFont="1" applyBorder="1" applyAlignment="1">
      <alignment horizontal="center" vertical="center"/>
    </xf>
    <xf numFmtId="38" fontId="0" fillId="0" borderId="5" xfId="3" applyFont="1" applyBorder="1" applyAlignment="1">
      <alignment horizontal="center" vertical="center"/>
    </xf>
    <xf numFmtId="38" fontId="0" fillId="0" borderId="4" xfId="3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5" fillId="0" borderId="12" xfId="0" applyFont="1" applyBorder="1" applyProtection="1"/>
    <xf numFmtId="0" fontId="17" fillId="5" borderId="0" xfId="0" applyFont="1" applyFill="1" applyBorder="1" applyAlignment="1" applyProtection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38" fontId="0" fillId="0" borderId="23" xfId="3" applyFont="1" applyBorder="1" applyAlignment="1">
      <alignment horizontal="right" vertical="center"/>
    </xf>
    <xf numFmtId="38" fontId="0" fillId="0" borderId="21" xfId="3" applyFont="1" applyBorder="1" applyAlignment="1">
      <alignment horizontal="right" vertical="center"/>
    </xf>
    <xf numFmtId="38" fontId="0" fillId="0" borderId="14" xfId="0" applyNumberFormat="1" applyBorder="1"/>
    <xf numFmtId="0" fontId="0" fillId="0" borderId="4" xfId="0" applyBorder="1"/>
    <xf numFmtId="0" fontId="0" fillId="0" borderId="25" xfId="0" applyBorder="1"/>
    <xf numFmtId="0" fontId="0" fillId="0" borderId="14" xfId="0" applyBorder="1"/>
    <xf numFmtId="38" fontId="0" fillId="0" borderId="25" xfId="3" applyFont="1" applyBorder="1" applyAlignment="1">
      <alignment horizontal="right" vertical="center"/>
    </xf>
    <xf numFmtId="38" fontId="0" fillId="0" borderId="14" xfId="3" applyFont="1" applyBorder="1" applyAlignment="1">
      <alignment horizontal="right" vertical="center"/>
    </xf>
    <xf numFmtId="177" fontId="0" fillId="0" borderId="0" xfId="3" applyNumberFormat="1" applyFont="1"/>
    <xf numFmtId="38" fontId="0" fillId="0" borderId="26" xfId="3" applyFont="1" applyBorder="1"/>
    <xf numFmtId="0" fontId="0" fillId="9" borderId="0" xfId="0" applyFill="1" applyAlignment="1">
      <alignment vertical="top"/>
    </xf>
    <xf numFmtId="0" fontId="38" fillId="4" borderId="18" xfId="0" applyFont="1" applyFill="1" applyBorder="1" applyProtection="1"/>
    <xf numFmtId="38" fontId="0" fillId="0" borderId="2" xfId="3" applyFont="1" applyBorder="1" applyAlignment="1">
      <alignment vertical="center"/>
    </xf>
    <xf numFmtId="38" fontId="0" fillId="0" borderId="4" xfId="3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38" fontId="0" fillId="0" borderId="5" xfId="3" applyFont="1" applyBorder="1" applyAlignment="1">
      <alignment horizontal="right" vertical="center"/>
    </xf>
    <xf numFmtId="38" fontId="0" fillId="0" borderId="2" xfId="3" applyFont="1" applyBorder="1" applyAlignment="1">
      <alignment horizontal="right" vertical="center"/>
    </xf>
    <xf numFmtId="38" fontId="15" fillId="0" borderId="2" xfId="3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right" vertical="center"/>
    </xf>
    <xf numFmtId="0" fontId="15" fillId="0" borderId="10" xfId="0" applyFont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176" fontId="5" fillId="4" borderId="0" xfId="0" applyNumberFormat="1" applyFont="1" applyFill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center" vertical="center"/>
    </xf>
    <xf numFmtId="38" fontId="0" fillId="0" borderId="4" xfId="3" applyFont="1" applyBorder="1" applyAlignment="1">
      <alignment horizontal="center" vertical="center"/>
    </xf>
    <xf numFmtId="38" fontId="0" fillId="0" borderId="5" xfId="3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2" xfId="3" applyFont="1" applyBorder="1" applyAlignment="1">
      <alignment horizontal="right" vertical="center"/>
    </xf>
    <xf numFmtId="38" fontId="0" fillId="0" borderId="4" xfId="3" applyFont="1" applyBorder="1" applyAlignment="1">
      <alignment horizontal="center" vertical="center"/>
    </xf>
    <xf numFmtId="38" fontId="0" fillId="0" borderId="5" xfId="3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2" xfId="0" applyFont="1" applyBorder="1" applyAlignment="1" applyProtection="1">
      <alignment horizontal="center" vertical="center"/>
    </xf>
    <xf numFmtId="38" fontId="0" fillId="0" borderId="5" xfId="3" applyFont="1" applyBorder="1" applyAlignment="1">
      <alignment horizontal="right" vertical="center"/>
    </xf>
    <xf numFmtId="38" fontId="15" fillId="0" borderId="2" xfId="3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right" vertical="center"/>
    </xf>
    <xf numFmtId="0" fontId="15" fillId="0" borderId="10" xfId="0" applyFont="1" applyBorder="1" applyAlignment="1" applyProtection="1">
      <alignment horizontal="center" vertical="center"/>
    </xf>
    <xf numFmtId="176" fontId="5" fillId="4" borderId="0" xfId="0" applyNumberFormat="1" applyFont="1" applyFill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/>
    </xf>
    <xf numFmtId="38" fontId="0" fillId="0" borderId="2" xfId="3" applyFont="1" applyBorder="1" applyAlignment="1">
      <alignment vertical="center"/>
    </xf>
    <xf numFmtId="38" fontId="10" fillId="0" borderId="2" xfId="3" applyFont="1" applyBorder="1"/>
    <xf numFmtId="38" fontId="10" fillId="0" borderId="29" xfId="3" applyFont="1" applyBorder="1"/>
    <xf numFmtId="38" fontId="0" fillId="0" borderId="30" xfId="3" applyFont="1" applyBorder="1"/>
    <xf numFmtId="38" fontId="0" fillId="0" borderId="31" xfId="3" applyFont="1" applyBorder="1"/>
    <xf numFmtId="177" fontId="0" fillId="0" borderId="0" xfId="3" applyNumberFormat="1" applyFont="1" applyBorder="1"/>
    <xf numFmtId="177" fontId="0" fillId="0" borderId="27" xfId="3" applyNumberFormat="1" applyFont="1" applyBorder="1"/>
    <xf numFmtId="177" fontId="0" fillId="0" borderId="28" xfId="3" applyNumberFormat="1" applyFont="1" applyBorder="1"/>
    <xf numFmtId="177" fontId="0" fillId="0" borderId="31" xfId="3" applyNumberFormat="1" applyFont="1" applyBorder="1"/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 shrinkToFit="1"/>
    </xf>
    <xf numFmtId="0" fontId="4" fillId="2" borderId="32" xfId="0" applyFont="1" applyFill="1" applyBorder="1" applyAlignment="1">
      <alignment horizontal="center" vertical="center" shrinkToFit="1"/>
    </xf>
    <xf numFmtId="0" fontId="9" fillId="3" borderId="33" xfId="0" applyFont="1" applyFill="1" applyBorder="1" applyAlignment="1">
      <alignment horizontal="center" vertical="center"/>
    </xf>
    <xf numFmtId="38" fontId="0" fillId="0" borderId="3" xfId="3" applyFont="1" applyBorder="1" applyAlignment="1">
      <alignment vertical="center"/>
    </xf>
    <xf numFmtId="38" fontId="0" fillId="0" borderId="33" xfId="3" applyFont="1" applyBorder="1" applyAlignment="1">
      <alignment horizontal="right" vertical="center"/>
    </xf>
    <xf numFmtId="38" fontId="0" fillId="0" borderId="33" xfId="3" applyFont="1" applyBorder="1" applyAlignment="1">
      <alignment vertical="center"/>
    </xf>
    <xf numFmtId="38" fontId="0" fillId="0" borderId="37" xfId="3" applyFont="1" applyBorder="1"/>
    <xf numFmtId="38" fontId="0" fillId="0" borderId="37" xfId="3" applyFont="1" applyBorder="1" applyAlignment="1">
      <alignment vertical="center"/>
    </xf>
    <xf numFmtId="38" fontId="0" fillId="0" borderId="33" xfId="3" applyFont="1" applyBorder="1"/>
    <xf numFmtId="38" fontId="1" fillId="0" borderId="1" xfId="3" applyFont="1" applyBorder="1"/>
    <xf numFmtId="38" fontId="5" fillId="0" borderId="0" xfId="3" applyFont="1" applyFill="1" applyBorder="1" applyAlignment="1" applyProtection="1">
      <alignment vertical="center"/>
      <protection locked="0"/>
    </xf>
    <xf numFmtId="0" fontId="15" fillId="0" borderId="0" xfId="2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top" wrapText="1"/>
    </xf>
    <xf numFmtId="38" fontId="15" fillId="0" borderId="0" xfId="3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5" fillId="0" borderId="12" xfId="2" applyFont="1" applyFill="1" applyBorder="1" applyAlignment="1" applyProtection="1">
      <alignment horizontal="center" vertical="center" textRotation="255"/>
    </xf>
    <xf numFmtId="0" fontId="15" fillId="0" borderId="1" xfId="2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top" wrapText="1"/>
    </xf>
    <xf numFmtId="0" fontId="18" fillId="5" borderId="0" xfId="0" applyFont="1" applyFill="1" applyBorder="1" applyAlignment="1" applyProtection="1">
      <alignment vertical="center"/>
    </xf>
    <xf numFmtId="0" fontId="28" fillId="5" borderId="12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15" fillId="0" borderId="2" xfId="0" applyFont="1" applyBorder="1" applyAlignment="1" applyProtection="1">
      <alignment horizontal="center" vertical="center" shrinkToFit="1"/>
    </xf>
    <xf numFmtId="0" fontId="15" fillId="0" borderId="2" xfId="0" applyFont="1" applyBorder="1" applyAlignment="1" applyProtection="1">
      <alignment horizontal="center" vertical="center"/>
    </xf>
    <xf numFmtId="0" fontId="29" fillId="6" borderId="2" xfId="0" applyFont="1" applyFill="1" applyBorder="1" applyAlignment="1" applyProtection="1">
      <alignment horizontal="left" vertical="center" wrapText="1"/>
    </xf>
    <xf numFmtId="0" fontId="34" fillId="0" borderId="2" xfId="0" applyFont="1" applyBorder="1" applyAlignment="1" applyProtection="1">
      <alignment vertical="center" wrapText="1"/>
    </xf>
    <xf numFmtId="0" fontId="34" fillId="0" borderId="2" xfId="0" applyFont="1" applyBorder="1" applyAlignment="1" applyProtection="1">
      <alignment horizontal="center" vertical="center" wrapText="1"/>
    </xf>
    <xf numFmtId="0" fontId="36" fillId="0" borderId="2" xfId="0" applyFont="1" applyBorder="1" applyAlignment="1" applyProtection="1">
      <alignment horizontal="left" vertical="center" wrapText="1"/>
    </xf>
    <xf numFmtId="0" fontId="34" fillId="0" borderId="2" xfId="0" applyFont="1" applyBorder="1" applyAlignment="1" applyProtection="1">
      <alignment horizontal="left" vertical="center" wrapText="1"/>
    </xf>
    <xf numFmtId="0" fontId="31" fillId="6" borderId="4" xfId="0" applyFont="1" applyFill="1" applyBorder="1" applyAlignment="1" applyProtection="1">
      <alignment horizontal="center" vertical="center" shrinkToFit="1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</xf>
    <xf numFmtId="38" fontId="16" fillId="2" borderId="2" xfId="3" applyFont="1" applyFill="1" applyBorder="1" applyAlignment="1" applyProtection="1">
      <alignment horizontal="right" vertical="center"/>
      <protection locked="0"/>
    </xf>
    <xf numFmtId="38" fontId="15" fillId="0" borderId="2" xfId="3" applyFont="1" applyBorder="1" applyAlignment="1" applyProtection="1">
      <alignment horizontal="center" vertical="center"/>
    </xf>
    <xf numFmtId="38" fontId="16" fillId="2" borderId="2" xfId="3" applyFont="1" applyFill="1" applyBorder="1" applyAlignment="1" applyProtection="1"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4" xfId="3" applyFont="1" applyBorder="1" applyAlignment="1">
      <alignment vertical="center"/>
    </xf>
    <xf numFmtId="38" fontId="0" fillId="0" borderId="5" xfId="3" applyFont="1" applyBorder="1" applyAlignment="1">
      <alignment vertical="center"/>
    </xf>
    <xf numFmtId="38" fontId="0" fillId="0" borderId="4" xfId="3" applyFont="1" applyBorder="1" applyAlignment="1">
      <alignment horizontal="right" vertical="center"/>
    </xf>
    <xf numFmtId="38" fontId="0" fillId="0" borderId="5" xfId="3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38" fontId="0" fillId="0" borderId="2" xfId="3" applyFont="1" applyBorder="1" applyAlignment="1">
      <alignment vertical="center"/>
    </xf>
    <xf numFmtId="0" fontId="15" fillId="6" borderId="14" xfId="0" applyFont="1" applyFill="1" applyBorder="1" applyAlignment="1" applyProtection="1">
      <alignment horizontal="center" vertical="center" shrinkToFit="1"/>
    </xf>
    <xf numFmtId="0" fontId="31" fillId="0" borderId="2" xfId="0" applyFont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3" xfId="3" applyFont="1" applyBorder="1" applyAlignment="1">
      <alignment horizontal="right" vertical="center"/>
    </xf>
    <xf numFmtId="38" fontId="0" fillId="0" borderId="33" xfId="3" applyFont="1" applyBorder="1" applyAlignment="1">
      <alignment horizontal="right" vertical="center"/>
    </xf>
    <xf numFmtId="3" fontId="1" fillId="0" borderId="4" xfId="3" applyNumberFormat="1" applyFont="1" applyFill="1" applyBorder="1" applyAlignment="1">
      <alignment vertical="center"/>
    </xf>
    <xf numFmtId="3" fontId="1" fillId="0" borderId="5" xfId="3" applyNumberFormat="1" applyFont="1" applyFill="1" applyBorder="1" applyAlignment="1">
      <alignment vertical="center"/>
    </xf>
    <xf numFmtId="38" fontId="0" fillId="0" borderId="2" xfId="3" applyFont="1" applyBorder="1" applyAlignment="1">
      <alignment horizontal="right" vertical="center"/>
    </xf>
    <xf numFmtId="38" fontId="5" fillId="0" borderId="0" xfId="3" applyFont="1" applyFill="1" applyBorder="1" applyAlignment="1" applyProtection="1">
      <protection locked="0"/>
    </xf>
    <xf numFmtId="0" fontId="0" fillId="0" borderId="0" xfId="0" applyFill="1" applyAlignment="1"/>
    <xf numFmtId="38" fontId="15" fillId="0" borderId="38" xfId="3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38" fontId="15" fillId="0" borderId="1" xfId="3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15" fillId="6" borderId="4" xfId="0" applyFont="1" applyFill="1" applyBorder="1" applyAlignment="1" applyProtection="1">
      <alignment horizontal="center" vertical="center" shrinkToFit="1"/>
    </xf>
    <xf numFmtId="0" fontId="13" fillId="6" borderId="4" xfId="0" applyFont="1" applyFill="1" applyBorder="1" applyAlignment="1" applyProtection="1">
      <alignment horizontal="center" vertical="center" shrinkToFit="1"/>
    </xf>
    <xf numFmtId="0" fontId="16" fillId="7" borderId="2" xfId="0" applyFont="1" applyFill="1" applyBorder="1" applyAlignment="1" applyProtection="1">
      <alignment horizontal="center" vertical="center"/>
      <protection locked="0"/>
    </xf>
    <xf numFmtId="38" fontId="16" fillId="7" borderId="2" xfId="3" applyFont="1" applyFill="1" applyBorder="1" applyAlignment="1" applyProtection="1">
      <alignment horizontal="right" vertical="center"/>
      <protection locked="0"/>
    </xf>
    <xf numFmtId="38" fontId="16" fillId="7" borderId="2" xfId="3" applyFont="1" applyFill="1" applyBorder="1" applyAlignment="1" applyProtection="1">
      <protection locked="0"/>
    </xf>
    <xf numFmtId="3" fontId="1" fillId="0" borderId="4" xfId="3" applyNumberFormat="1" applyFont="1" applyFill="1" applyBorder="1" applyAlignment="1">
      <alignment horizontal="center" vertical="center"/>
    </xf>
    <xf numFmtId="3" fontId="1" fillId="0" borderId="5" xfId="3" applyNumberFormat="1" applyFont="1" applyFill="1" applyBorder="1" applyAlignment="1">
      <alignment horizontal="center" vertical="center"/>
    </xf>
    <xf numFmtId="38" fontId="0" fillId="0" borderId="4" xfId="3" applyFont="1" applyBorder="1" applyAlignment="1">
      <alignment horizontal="center" vertical="center"/>
    </xf>
    <xf numFmtId="38" fontId="0" fillId="0" borderId="5" xfId="3" applyFont="1" applyBorder="1" applyAlignment="1">
      <alignment horizontal="center" vertical="center"/>
    </xf>
    <xf numFmtId="0" fontId="32" fillId="6" borderId="14" xfId="0" applyFont="1" applyFill="1" applyBorder="1" applyAlignment="1" applyProtection="1">
      <alignment horizontal="center" vertical="center" wrapText="1"/>
    </xf>
    <xf numFmtId="0" fontId="33" fillId="6" borderId="14" xfId="0" applyFont="1" applyFill="1" applyBorder="1" applyAlignment="1" applyProtection="1">
      <alignment horizontal="center" vertical="center" wrapText="1"/>
    </xf>
    <xf numFmtId="38" fontId="5" fillId="0" borderId="0" xfId="3" applyFont="1" applyFill="1" applyBorder="1" applyAlignment="1" applyProtection="1">
      <alignment vertical="center"/>
      <protection locked="0"/>
    </xf>
    <xf numFmtId="38" fontId="0" fillId="0" borderId="17" xfId="3" applyFont="1" applyBorder="1" applyAlignment="1">
      <alignment horizontal="center" vertical="center"/>
    </xf>
    <xf numFmtId="38" fontId="0" fillId="0" borderId="21" xfId="3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>
      <alignment vertical="center"/>
    </xf>
    <xf numFmtId="0" fontId="5" fillId="4" borderId="0" xfId="0" applyFont="1" applyFill="1" applyBorder="1" applyAlignment="1" applyProtection="1">
      <alignment horizontal="center" vertical="center"/>
    </xf>
    <xf numFmtId="176" fontId="5" fillId="4" borderId="0" xfId="0" applyNumberFormat="1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38" fontId="15" fillId="0" borderId="10" xfId="0" applyNumberFormat="1" applyFont="1" applyBorder="1" applyAlignment="1" applyProtection="1">
      <alignment horizontal="right" vertical="center"/>
    </xf>
    <xf numFmtId="0" fontId="15" fillId="0" borderId="10" xfId="0" applyFont="1" applyBorder="1" applyAlignment="1" applyProtection="1">
      <alignment horizontal="right" vertical="center"/>
    </xf>
    <xf numFmtId="0" fontId="15" fillId="0" borderId="10" xfId="0" applyFont="1" applyBorder="1" applyAlignment="1" applyProtection="1">
      <alignment horizontal="center" vertical="center" shrinkToFit="1"/>
    </xf>
    <xf numFmtId="176" fontId="15" fillId="0" borderId="10" xfId="0" applyNumberFormat="1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right" vertical="center"/>
    </xf>
    <xf numFmtId="176" fontId="15" fillId="0" borderId="2" xfId="0" applyNumberFormat="1" applyFont="1" applyBorder="1" applyAlignment="1" applyProtection="1">
      <alignment horizontal="right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176" fontId="16" fillId="0" borderId="2" xfId="0" applyNumberFormat="1" applyFont="1" applyBorder="1" applyAlignment="1" applyProtection="1">
      <alignment vertical="center"/>
    </xf>
    <xf numFmtId="0" fontId="16" fillId="0" borderId="2" xfId="0" applyFont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right" vertical="center"/>
    </xf>
    <xf numFmtId="176" fontId="16" fillId="0" borderId="2" xfId="0" applyNumberFormat="1" applyFont="1" applyBorder="1" applyAlignment="1" applyProtection="1">
      <alignment horizontal="right" vertical="center"/>
    </xf>
    <xf numFmtId="0" fontId="15" fillId="8" borderId="11" xfId="0" applyFont="1" applyFill="1" applyBorder="1" applyAlignment="1" applyProtection="1">
      <alignment horizontal="center" vertical="center"/>
    </xf>
    <xf numFmtId="0" fontId="15" fillId="0" borderId="8" xfId="0" applyFont="1" applyBorder="1" applyAlignment="1">
      <alignment vertical="center"/>
    </xf>
    <xf numFmtId="38" fontId="37" fillId="0" borderId="11" xfId="0" applyNumberFormat="1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176" fontId="15" fillId="0" borderId="2" xfId="3" applyNumberFormat="1" applyFont="1" applyBorder="1" applyAlignment="1" applyProtection="1">
      <alignment horizontal="right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/>
    <xf numFmtId="0" fontId="5" fillId="4" borderId="22" xfId="2" applyFont="1" applyFill="1" applyBorder="1" applyAlignment="1" applyProtection="1">
      <alignment vertical="center" textRotation="255"/>
    </xf>
    <xf numFmtId="0" fontId="1" fillId="4" borderId="22" xfId="0" applyFont="1" applyFill="1" applyBorder="1" applyAlignment="1">
      <alignment vertical="center" textRotation="255"/>
    </xf>
    <xf numFmtId="38" fontId="5" fillId="4" borderId="22" xfId="3" applyFont="1" applyFill="1" applyBorder="1" applyAlignment="1" applyProtection="1">
      <protection locked="0"/>
    </xf>
    <xf numFmtId="0" fontId="1" fillId="0" borderId="22" xfId="0" applyFont="1" applyBorder="1" applyAlignment="1"/>
    <xf numFmtId="0" fontId="1" fillId="4" borderId="22" xfId="0" applyFont="1" applyFill="1" applyBorder="1" applyAlignment="1"/>
    <xf numFmtId="0" fontId="39" fillId="4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22" xfId="0" applyBorder="1" applyAlignment="1"/>
    <xf numFmtId="0" fontId="1" fillId="0" borderId="22" xfId="0" applyFont="1" applyBorder="1" applyAlignment="1">
      <alignment vertical="center" textRotation="255"/>
    </xf>
    <xf numFmtId="0" fontId="40" fillId="4" borderId="22" xfId="2" applyFont="1" applyFill="1" applyBorder="1" applyAlignment="1" applyProtection="1">
      <alignment vertical="center" textRotation="255"/>
    </xf>
    <xf numFmtId="0" fontId="40" fillId="4" borderId="22" xfId="0" applyFont="1" applyFill="1" applyBorder="1" applyAlignment="1">
      <alignment vertical="center" textRotation="255"/>
    </xf>
    <xf numFmtId="38" fontId="40" fillId="4" borderId="22" xfId="3" applyFont="1" applyFill="1" applyBorder="1" applyAlignment="1" applyProtection="1">
      <protection locked="0"/>
    </xf>
    <xf numFmtId="0" fontId="41" fillId="0" borderId="22" xfId="0" applyFont="1" applyBorder="1" applyAlignment="1"/>
    <xf numFmtId="0" fontId="41" fillId="4" borderId="22" xfId="0" applyFont="1" applyFill="1" applyBorder="1" applyAlignment="1"/>
  </cellXfs>
  <cellStyles count="4">
    <cellStyle name="パーセント" xfId="1" builtinId="5"/>
    <cellStyle name="ハイパーリンク" xfId="2" builtinId="8"/>
    <cellStyle name="桁区切り" xfId="3" builtinId="6"/>
    <cellStyle name="標準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3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85723</xdr:colOff>
      <xdr:row>14</xdr:row>
      <xdr:rowOff>38101</xdr:rowOff>
    </xdr:from>
    <xdr:to>
      <xdr:col>20</xdr:col>
      <xdr:colOff>200025</xdr:colOff>
      <xdr:row>19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6F99C366-8867-49FD-8166-85BFB75E9DE7}"/>
            </a:ext>
          </a:extLst>
        </xdr:cNvPr>
        <xdr:cNvSpPr/>
      </xdr:nvSpPr>
      <xdr:spPr bwMode="auto">
        <a:xfrm>
          <a:off x="514348" y="3448051"/>
          <a:ext cx="7515227" cy="1162049"/>
        </a:xfrm>
        <a:prstGeom prst="roundRect">
          <a:avLst/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horzOverflow="clip" wrap="square" lIns="27432" tIns="18288" rIns="0" bIns="0" rtlCol="0" anchor="t" upright="1"/>
        <a:lstStyle/>
        <a:p>
          <a:pPr algn="l" rtl="0">
            <a:lnSpc>
              <a:spcPts val="1100"/>
            </a:lnSpc>
          </a:pPr>
          <a:endParaRPr kumimoji="1" lang="ja-JP" altLang="en-US" sz="900" b="0" i="0" u="sng" strike="noStrike" baseline="0">
            <a:solidFill>
              <a:srgbClr val="C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20</xdr:col>
      <xdr:colOff>200024</xdr:colOff>
      <xdr:row>1</xdr:row>
      <xdr:rowOff>5869</xdr:rowOff>
    </xdr:from>
    <xdr:to>
      <xdr:col>23</xdr:col>
      <xdr:colOff>257174</xdr:colOff>
      <xdr:row>4</xdr:row>
      <xdr:rowOff>67605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65C181A-09B0-4AAD-B3F5-C11850427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9574" y="586894"/>
          <a:ext cx="1133475" cy="795161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23</xdr:row>
      <xdr:rowOff>133350</xdr:rowOff>
    </xdr:from>
    <xdr:to>
      <xdr:col>1</xdr:col>
      <xdr:colOff>28575</xdr:colOff>
      <xdr:row>39</xdr:row>
      <xdr:rowOff>161925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6426F2DA-5FCD-47C7-B23E-361BD8DCD0DC}"/>
            </a:ext>
          </a:extLst>
        </xdr:cNvPr>
        <xdr:cNvGrpSpPr/>
      </xdr:nvGrpSpPr>
      <xdr:grpSpPr>
        <a:xfrm>
          <a:off x="142875" y="5686425"/>
          <a:ext cx="266700" cy="3486150"/>
          <a:chOff x="142875" y="5591175"/>
          <a:chExt cx="209550" cy="3362325"/>
        </a:xfrm>
      </xdr:grpSpPr>
      <xdr:cxnSp macro="">
        <xdr:nvCxnSpPr>
          <xdr:cNvPr id="5" name="直線矢印コネクタ 2">
            <a:extLst>
              <a:ext uri="{FF2B5EF4-FFF2-40B4-BE49-F238E27FC236}">
                <a16:creationId xmlns:a16="http://schemas.microsoft.com/office/drawing/2014/main" id="{6711D20E-626E-48FF-BC81-CF790B42B11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71450" y="6134100"/>
            <a:ext cx="180975" cy="0"/>
          </a:xfrm>
          <a:prstGeom prst="straightConnector1">
            <a:avLst/>
          </a:prstGeom>
          <a:noFill/>
          <a:ln w="28575" algn="ctr">
            <a:solidFill>
              <a:srgbClr val="FF0000"/>
            </a:solidFill>
            <a:prstDash val="sysDash"/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B7D1913F-4D89-4CFE-B6DE-4E52099720E2}"/>
              </a:ext>
            </a:extLst>
          </xdr:cNvPr>
          <xdr:cNvCxnSpPr/>
        </xdr:nvCxnSpPr>
        <xdr:spPr bwMode="auto">
          <a:xfrm>
            <a:off x="142875" y="5591175"/>
            <a:ext cx="19050" cy="3362325"/>
          </a:xfrm>
          <a:prstGeom prst="line">
            <a:avLst/>
          </a:prstGeom>
          <a:solidFill>
            <a:srgbClr val="090000"/>
          </a:solidFill>
          <a:ln w="28575" cap="flat" cmpd="sng" algn="ctr">
            <a:solidFill>
              <a:srgbClr val="FF0000"/>
            </a:solidFill>
            <a:prstDash val="sysDash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" name="直線矢印コネクタ 2">
            <a:extLst>
              <a:ext uri="{FF2B5EF4-FFF2-40B4-BE49-F238E27FC236}">
                <a16:creationId xmlns:a16="http://schemas.microsoft.com/office/drawing/2014/main" id="{841EB96E-C9F6-4F2C-8EF9-50F0949B553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61925" y="8943975"/>
            <a:ext cx="180975" cy="0"/>
          </a:xfrm>
          <a:prstGeom prst="straightConnector1">
            <a:avLst/>
          </a:prstGeom>
          <a:noFill/>
          <a:ln w="28575" algn="ctr">
            <a:solidFill>
              <a:srgbClr val="FF0000"/>
            </a:solidFill>
            <a:prstDash val="sysDash"/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EDC89D6D-06CC-477C-95CC-3CCFA0151DBE}"/>
              </a:ext>
            </a:extLst>
          </xdr:cNvPr>
          <xdr:cNvCxnSpPr/>
        </xdr:nvCxnSpPr>
        <xdr:spPr bwMode="auto">
          <a:xfrm>
            <a:off x="142875" y="5600700"/>
            <a:ext cx="209550" cy="0"/>
          </a:xfrm>
          <a:prstGeom prst="line">
            <a:avLst/>
          </a:prstGeom>
          <a:solidFill>
            <a:srgbClr val="090000"/>
          </a:solidFill>
          <a:ln w="28575" cap="flat" cmpd="sng" algn="ctr">
            <a:solidFill>
              <a:srgbClr val="FF0000"/>
            </a:solidFill>
            <a:prstDash val="sysDash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10</xdr:col>
      <xdr:colOff>285750</xdr:colOff>
      <xdr:row>44</xdr:row>
      <xdr:rowOff>152400</xdr:rowOff>
    </xdr:from>
    <xdr:to>
      <xdr:col>15</xdr:col>
      <xdr:colOff>38100</xdr:colOff>
      <xdr:row>46</xdr:row>
      <xdr:rowOff>38100</xdr:rowOff>
    </xdr:to>
    <xdr:sp macro="" textlink="">
      <xdr:nvSpPr>
        <xdr:cNvPr id="9" name="二等辺三角形 8">
          <a:extLst>
            <a:ext uri="{FF2B5EF4-FFF2-40B4-BE49-F238E27FC236}">
              <a16:creationId xmlns:a16="http://schemas.microsoft.com/office/drawing/2014/main" id="{586293FA-E33B-47B5-A9F6-836BBEF4C9D4}"/>
            </a:ext>
          </a:extLst>
        </xdr:cNvPr>
        <xdr:cNvSpPr/>
      </xdr:nvSpPr>
      <xdr:spPr bwMode="auto">
        <a:xfrm rot="10800000">
          <a:off x="4876800" y="10258425"/>
          <a:ext cx="1381125" cy="304800"/>
        </a:xfrm>
        <a:prstGeom prst="triangle">
          <a:avLst/>
        </a:prstGeom>
        <a:solidFill>
          <a:srgbClr val="002060"/>
        </a:solidFill>
        <a:ln w="9525">
          <a:noFill/>
          <a:round/>
          <a:headEnd/>
          <a:tailEnd/>
        </a:ln>
      </xdr:spPr>
      <xdr:txBody>
        <a:bodyPr vertOverflow="clip" horzOverflow="clip" wrap="square" lIns="27432" tIns="18288" rIns="0" bIns="0" rtlCol="0" anchor="t" upright="1"/>
        <a:lstStyle/>
        <a:p>
          <a:pPr algn="l" rtl="0">
            <a:lnSpc>
              <a:spcPts val="1100"/>
            </a:lnSpc>
          </a:pPr>
          <a:endParaRPr kumimoji="1" lang="ja-JP" altLang="en-US" sz="900" b="0" i="0" u="sng" strike="noStrike" baseline="0">
            <a:solidFill>
              <a:srgbClr val="C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11</xdr:col>
      <xdr:colOff>0</xdr:colOff>
      <xdr:row>54</xdr:row>
      <xdr:rowOff>127000</xdr:rowOff>
    </xdr:from>
    <xdr:to>
      <xdr:col>14</xdr:col>
      <xdr:colOff>104747</xdr:colOff>
      <xdr:row>56</xdr:row>
      <xdr:rowOff>39394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62F8580-1D9A-451F-AAEE-3F991D5CF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6325" y="12290425"/>
          <a:ext cx="1142972" cy="27434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49</xdr:row>
      <xdr:rowOff>0</xdr:rowOff>
    </xdr:from>
    <xdr:to>
      <xdr:col>4</xdr:col>
      <xdr:colOff>1244518</xdr:colOff>
      <xdr:row>52</xdr:row>
      <xdr:rowOff>23305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38074D73-FC3A-4D4C-8955-ACEDD61D1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" y="10972800"/>
          <a:ext cx="1987468" cy="737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27</xdr:col>
      <xdr:colOff>19049</xdr:colOff>
      <xdr:row>1</xdr:row>
      <xdr:rowOff>6351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2D87F25D-2D42-4FE3-8ED7-277590616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9401174" cy="587376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55</xdr:row>
      <xdr:rowOff>82550</xdr:rowOff>
    </xdr:from>
    <xdr:to>
      <xdr:col>11</xdr:col>
      <xdr:colOff>142875</xdr:colOff>
      <xdr:row>57</xdr:row>
      <xdr:rowOff>57150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35783541-2632-4AFC-A540-5E1250D1157B}"/>
            </a:ext>
          </a:extLst>
        </xdr:cNvPr>
        <xdr:cNvSpPr/>
      </xdr:nvSpPr>
      <xdr:spPr bwMode="auto">
        <a:xfrm>
          <a:off x="228600" y="12436475"/>
          <a:ext cx="4800600" cy="431800"/>
        </a:xfrm>
        <a:prstGeom prst="wedgeRoundRectCallout">
          <a:avLst>
            <a:gd name="adj1" fmla="val 39734"/>
            <a:gd name="adj2" fmla="val -102431"/>
            <a:gd name="adj3" fmla="val 16667"/>
          </a:avLst>
        </a:prstGeom>
        <a:solidFill>
          <a:srgbClr val="FFD5FA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clip" wrap="square" lIns="27432" tIns="18288" rIns="0" bIns="0" rtlCol="0" anchor="ctr" upright="1"/>
        <a:lstStyle/>
        <a:p>
          <a:pPr algn="l" rtl="0">
            <a:lnSpc>
              <a:spcPts val="1100"/>
            </a:lnSpc>
          </a:pPr>
          <a:r>
            <a:rPr kumimoji="1"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　最高限度額は</a:t>
          </a:r>
          <a:r>
            <a:rPr kumimoji="1"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10</a:t>
          </a:r>
          <a:r>
            <a:rPr kumimoji="1"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４万円です。</a:t>
          </a:r>
          <a:endParaRPr kumimoji="1" lang="en-US" altLang="ja-JP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lnSpc>
              <a:spcPts val="1100"/>
            </a:lnSpc>
          </a:pPr>
          <a:r>
            <a:rPr kumimoji="1"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内訳：医療保険分</a:t>
          </a:r>
          <a:r>
            <a:rPr kumimoji="1"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65</a:t>
          </a:r>
          <a:r>
            <a:rPr kumimoji="1"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万円</a:t>
          </a:r>
          <a:r>
            <a:rPr kumimoji="1" lang="ja-JP" altLang="ja-JP" sz="1000" b="0" i="0" baseline="0">
              <a:effectLst/>
              <a:latin typeface="+mn-ea"/>
              <a:ea typeface="+mn-ea"/>
              <a:cs typeface="+mn-cs"/>
            </a:rPr>
            <a:t>・後期</a:t>
          </a:r>
          <a:r>
            <a:rPr kumimoji="1" lang="ja-JP" altLang="en-US" sz="1000" b="0" i="0" baseline="0">
              <a:effectLst/>
              <a:latin typeface="+mn-ea"/>
              <a:ea typeface="+mn-ea"/>
              <a:cs typeface="+mn-cs"/>
            </a:rPr>
            <a:t>高齢者支援金</a:t>
          </a:r>
          <a:r>
            <a:rPr kumimoji="1" lang="ja-JP" altLang="ja-JP" sz="1000" b="0" i="0" baseline="0"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0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ja-JP" altLang="en-US" sz="10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２</a:t>
          </a:r>
          <a:r>
            <a:rPr kumimoji="1" lang="ja-JP" altLang="ja-JP" sz="1000" b="0" i="0" baseline="0">
              <a:effectLst/>
              <a:latin typeface="+mn-ea"/>
              <a:ea typeface="+mn-ea"/>
              <a:cs typeface="+mn-cs"/>
            </a:rPr>
            <a:t>万円</a:t>
          </a:r>
          <a:r>
            <a:rPr kumimoji="1"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・介護納付金分</a:t>
          </a:r>
          <a:r>
            <a:rPr kumimoji="1"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17</a:t>
          </a:r>
          <a:r>
            <a:rPr kumimoji="1"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万円</a:t>
          </a:r>
          <a:r>
            <a:rPr kumimoji="1"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endParaRPr kumimoji="1" lang="ja-JP" altLang="en-US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12</xdr:col>
      <xdr:colOff>114300</xdr:colOff>
      <xdr:row>54</xdr:row>
      <xdr:rowOff>111125</xdr:rowOff>
    </xdr:from>
    <xdr:to>
      <xdr:col>23</xdr:col>
      <xdr:colOff>79679</xdr:colOff>
      <xdr:row>57</xdr:row>
      <xdr:rowOff>97717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2E933D7D-BEA3-4298-AF54-A9B2767C6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76875" y="12274550"/>
          <a:ext cx="3508679" cy="634292"/>
        </a:xfrm>
        <a:prstGeom prst="rect">
          <a:avLst/>
        </a:prstGeom>
      </xdr:spPr>
    </xdr:pic>
    <xdr:clientData/>
  </xdr:twoCellAnchor>
  <xdr:twoCellAnchor>
    <xdr:from>
      <xdr:col>0</xdr:col>
      <xdr:colOff>209550</xdr:colOff>
      <xdr:row>0</xdr:row>
      <xdr:rowOff>114300</xdr:rowOff>
    </xdr:from>
    <xdr:to>
      <xdr:col>23</xdr:col>
      <xdr:colOff>168275</xdr:colOff>
      <xdr:row>0</xdr:row>
      <xdr:rowOff>472787</xdr:rowOff>
    </xdr:to>
    <xdr:sp macro="" textlink="">
      <xdr:nvSpPr>
        <xdr:cNvPr id="15" name="WordArt 27">
          <a:extLst>
            <a:ext uri="{FF2B5EF4-FFF2-40B4-BE49-F238E27FC236}">
              <a16:creationId xmlns:a16="http://schemas.microsoft.com/office/drawing/2014/main" id="{4D05DE23-BCED-42C3-A3EB-659912558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9550" y="114300"/>
          <a:ext cx="8864600" cy="35848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宇都宮市　国民健康保険税額簡易試算表　</a:t>
          </a:r>
          <a:endParaRPr lang="en-US" altLang="ja-JP" sz="2000" b="1" i="0" u="none" strike="noStrike" baseline="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85723</xdr:colOff>
      <xdr:row>14</xdr:row>
      <xdr:rowOff>38101</xdr:rowOff>
    </xdr:from>
    <xdr:to>
      <xdr:col>20</xdr:col>
      <xdr:colOff>200025</xdr:colOff>
      <xdr:row>19</xdr:row>
      <xdr:rowOff>85725</xdr:rowOff>
    </xdr:to>
    <xdr:sp macro="" textlink="">
      <xdr:nvSpPr>
        <xdr:cNvPr id="16" name="角丸四角形 2">
          <a:extLst>
            <a:ext uri="{FF2B5EF4-FFF2-40B4-BE49-F238E27FC236}">
              <a16:creationId xmlns:a16="http://schemas.microsoft.com/office/drawing/2014/main" id="{2F6A6505-3665-4456-9A8D-5B7858784FA8}"/>
            </a:ext>
          </a:extLst>
        </xdr:cNvPr>
        <xdr:cNvSpPr/>
      </xdr:nvSpPr>
      <xdr:spPr bwMode="auto">
        <a:xfrm>
          <a:off x="514348" y="3448051"/>
          <a:ext cx="7515227" cy="1162049"/>
        </a:xfrm>
        <a:prstGeom prst="roundRect">
          <a:avLst/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horzOverflow="clip" wrap="square" lIns="27432" tIns="18288" rIns="0" bIns="0" rtlCol="0" anchor="t" upright="1"/>
        <a:lstStyle/>
        <a:p>
          <a:pPr algn="l" rtl="0">
            <a:lnSpc>
              <a:spcPts val="1100"/>
            </a:lnSpc>
          </a:pPr>
          <a:endParaRPr kumimoji="1" lang="ja-JP" altLang="en-US" sz="900" b="0" i="0" u="sng" strike="noStrike" baseline="0">
            <a:solidFill>
              <a:srgbClr val="C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20</xdr:col>
      <xdr:colOff>200024</xdr:colOff>
      <xdr:row>1</xdr:row>
      <xdr:rowOff>5869</xdr:rowOff>
    </xdr:from>
    <xdr:to>
      <xdr:col>23</xdr:col>
      <xdr:colOff>257174</xdr:colOff>
      <xdr:row>4</xdr:row>
      <xdr:rowOff>67605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6566C7C2-DF10-4591-BA9E-D8DA22FB0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9574" y="586894"/>
          <a:ext cx="1133475" cy="795161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23</xdr:row>
      <xdr:rowOff>133350</xdr:rowOff>
    </xdr:from>
    <xdr:to>
      <xdr:col>1</xdr:col>
      <xdr:colOff>28575</xdr:colOff>
      <xdr:row>39</xdr:row>
      <xdr:rowOff>161925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572F2637-6219-4CF4-B3DC-D0ABF6A0D833}"/>
            </a:ext>
          </a:extLst>
        </xdr:cNvPr>
        <xdr:cNvGrpSpPr/>
      </xdr:nvGrpSpPr>
      <xdr:grpSpPr>
        <a:xfrm>
          <a:off x="142875" y="5686425"/>
          <a:ext cx="266700" cy="3476625"/>
          <a:chOff x="142875" y="5591175"/>
          <a:chExt cx="209550" cy="3362325"/>
        </a:xfrm>
      </xdr:grpSpPr>
      <xdr:cxnSp macro="">
        <xdr:nvCxnSpPr>
          <xdr:cNvPr id="19" name="直線矢印コネクタ 2">
            <a:extLst>
              <a:ext uri="{FF2B5EF4-FFF2-40B4-BE49-F238E27FC236}">
                <a16:creationId xmlns:a16="http://schemas.microsoft.com/office/drawing/2014/main" id="{EFBF9B49-1CF3-4908-9F6F-8D5BDA50B45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71450" y="6134100"/>
            <a:ext cx="180975" cy="0"/>
          </a:xfrm>
          <a:prstGeom prst="straightConnector1">
            <a:avLst/>
          </a:prstGeom>
          <a:noFill/>
          <a:ln w="28575" algn="ctr">
            <a:solidFill>
              <a:srgbClr val="FF0000"/>
            </a:solidFill>
            <a:prstDash val="sysDash"/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" name="直線コネクタ 19">
            <a:extLst>
              <a:ext uri="{FF2B5EF4-FFF2-40B4-BE49-F238E27FC236}">
                <a16:creationId xmlns:a16="http://schemas.microsoft.com/office/drawing/2014/main" id="{7233942F-E37E-48F3-9C3E-FE34CBE328AA}"/>
              </a:ext>
            </a:extLst>
          </xdr:cNvPr>
          <xdr:cNvCxnSpPr/>
        </xdr:nvCxnSpPr>
        <xdr:spPr bwMode="auto">
          <a:xfrm>
            <a:off x="142875" y="5591175"/>
            <a:ext cx="19050" cy="3362325"/>
          </a:xfrm>
          <a:prstGeom prst="line">
            <a:avLst/>
          </a:prstGeom>
          <a:solidFill>
            <a:srgbClr val="090000"/>
          </a:solidFill>
          <a:ln w="28575" cap="flat" cmpd="sng" algn="ctr">
            <a:solidFill>
              <a:srgbClr val="FF0000"/>
            </a:solidFill>
            <a:prstDash val="sysDash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1" name="直線矢印コネクタ 2">
            <a:extLst>
              <a:ext uri="{FF2B5EF4-FFF2-40B4-BE49-F238E27FC236}">
                <a16:creationId xmlns:a16="http://schemas.microsoft.com/office/drawing/2014/main" id="{2A61EF9A-794E-4118-B283-EC84A0139DBF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61925" y="8943975"/>
            <a:ext cx="180975" cy="0"/>
          </a:xfrm>
          <a:prstGeom prst="straightConnector1">
            <a:avLst/>
          </a:prstGeom>
          <a:noFill/>
          <a:ln w="28575" algn="ctr">
            <a:solidFill>
              <a:srgbClr val="FF0000"/>
            </a:solidFill>
            <a:prstDash val="sysDash"/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AC1A869D-2171-4FC0-932A-8945CB01489B}"/>
              </a:ext>
            </a:extLst>
          </xdr:cNvPr>
          <xdr:cNvCxnSpPr/>
        </xdr:nvCxnSpPr>
        <xdr:spPr bwMode="auto">
          <a:xfrm>
            <a:off x="142875" y="5600700"/>
            <a:ext cx="209550" cy="0"/>
          </a:xfrm>
          <a:prstGeom prst="line">
            <a:avLst/>
          </a:prstGeom>
          <a:solidFill>
            <a:srgbClr val="090000"/>
          </a:solidFill>
          <a:ln w="28575" cap="flat" cmpd="sng" algn="ctr">
            <a:solidFill>
              <a:srgbClr val="FF0000"/>
            </a:solidFill>
            <a:prstDash val="sysDash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10</xdr:col>
      <xdr:colOff>285750</xdr:colOff>
      <xdr:row>44</xdr:row>
      <xdr:rowOff>152400</xdr:rowOff>
    </xdr:from>
    <xdr:to>
      <xdr:col>15</xdr:col>
      <xdr:colOff>38100</xdr:colOff>
      <xdr:row>46</xdr:row>
      <xdr:rowOff>38100</xdr:rowOff>
    </xdr:to>
    <xdr:sp macro="" textlink="">
      <xdr:nvSpPr>
        <xdr:cNvPr id="23" name="二等辺三角形 22">
          <a:extLst>
            <a:ext uri="{FF2B5EF4-FFF2-40B4-BE49-F238E27FC236}">
              <a16:creationId xmlns:a16="http://schemas.microsoft.com/office/drawing/2014/main" id="{52053FF4-D542-4615-83A6-6D84F1BA3EFE}"/>
            </a:ext>
          </a:extLst>
        </xdr:cNvPr>
        <xdr:cNvSpPr/>
      </xdr:nvSpPr>
      <xdr:spPr bwMode="auto">
        <a:xfrm rot="10800000">
          <a:off x="3781425" y="9839325"/>
          <a:ext cx="1143000" cy="276225"/>
        </a:xfrm>
        <a:prstGeom prst="triangle">
          <a:avLst/>
        </a:prstGeom>
        <a:solidFill>
          <a:srgbClr val="002060"/>
        </a:solidFill>
        <a:ln w="9525">
          <a:noFill/>
          <a:round/>
          <a:headEnd/>
          <a:tailEnd/>
        </a:ln>
      </xdr:spPr>
      <xdr:txBody>
        <a:bodyPr vertOverflow="clip" horzOverflow="clip" wrap="square" lIns="27432" tIns="18288" rIns="0" bIns="0" rtlCol="0" anchor="t" upright="1"/>
        <a:lstStyle/>
        <a:p>
          <a:pPr algn="l" rtl="0">
            <a:lnSpc>
              <a:spcPts val="1100"/>
            </a:lnSpc>
          </a:pPr>
          <a:endParaRPr kumimoji="1" lang="ja-JP" altLang="en-US" sz="900" b="0" i="0" u="sng" strike="noStrike" baseline="0">
            <a:solidFill>
              <a:srgbClr val="C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11</xdr:col>
      <xdr:colOff>0</xdr:colOff>
      <xdr:row>54</xdr:row>
      <xdr:rowOff>127000</xdr:rowOff>
    </xdr:from>
    <xdr:to>
      <xdr:col>14</xdr:col>
      <xdr:colOff>104747</xdr:colOff>
      <xdr:row>56</xdr:row>
      <xdr:rowOff>39394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978B851-621B-44A9-A09C-D09CBFD9A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67250" y="11795125"/>
          <a:ext cx="1152497" cy="27751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49</xdr:row>
      <xdr:rowOff>0</xdr:rowOff>
    </xdr:from>
    <xdr:to>
      <xdr:col>4</xdr:col>
      <xdr:colOff>1244518</xdr:colOff>
      <xdr:row>52</xdr:row>
      <xdr:rowOff>23305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5C80F75-ADE1-4E66-BE29-ED4B34A13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" y="10972800"/>
          <a:ext cx="1987468" cy="737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19049</xdr:colOff>
      <xdr:row>1</xdr:row>
      <xdr:rowOff>6351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E7ACBE2-6604-4D89-8385-C92D4743D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9401174" cy="587376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55</xdr:row>
      <xdr:rowOff>82550</xdr:rowOff>
    </xdr:from>
    <xdr:to>
      <xdr:col>11</xdr:col>
      <xdr:colOff>142875</xdr:colOff>
      <xdr:row>57</xdr:row>
      <xdr:rowOff>57150</xdr:rowOff>
    </xdr:to>
    <xdr:sp macro="" textlink="">
      <xdr:nvSpPr>
        <xdr:cNvPr id="39" name="角丸四角形吹き出し 12">
          <a:extLst>
            <a:ext uri="{FF2B5EF4-FFF2-40B4-BE49-F238E27FC236}">
              <a16:creationId xmlns:a16="http://schemas.microsoft.com/office/drawing/2014/main" id="{231E700F-7B3A-4E28-ADCB-EA7E54FFEC0C}"/>
            </a:ext>
          </a:extLst>
        </xdr:cNvPr>
        <xdr:cNvSpPr/>
      </xdr:nvSpPr>
      <xdr:spPr bwMode="auto">
        <a:xfrm>
          <a:off x="228600" y="12350750"/>
          <a:ext cx="4800600" cy="431800"/>
        </a:xfrm>
        <a:prstGeom prst="wedgeRoundRectCallout">
          <a:avLst>
            <a:gd name="adj1" fmla="val 39734"/>
            <a:gd name="adj2" fmla="val -102431"/>
            <a:gd name="adj3" fmla="val 16667"/>
          </a:avLst>
        </a:prstGeom>
        <a:solidFill>
          <a:srgbClr val="FFD5FA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clip" wrap="square" lIns="27432" tIns="18288" rIns="0" bIns="0" rtlCol="0" anchor="ctr" upright="1"/>
        <a:lstStyle/>
        <a:p>
          <a:pPr algn="l" rtl="0">
            <a:lnSpc>
              <a:spcPts val="1100"/>
            </a:lnSpc>
          </a:pPr>
          <a:r>
            <a:rPr kumimoji="1"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　最高限度額は</a:t>
          </a:r>
          <a:r>
            <a:rPr kumimoji="1"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102</a:t>
          </a:r>
          <a:r>
            <a:rPr kumimoji="1"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万円です。</a:t>
          </a:r>
          <a:endParaRPr kumimoji="1" lang="en-US" altLang="ja-JP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lnSpc>
              <a:spcPts val="1100"/>
            </a:lnSpc>
          </a:pPr>
          <a:r>
            <a:rPr kumimoji="1"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内訳：医療保険分</a:t>
          </a:r>
          <a:r>
            <a:rPr kumimoji="1"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65</a:t>
          </a:r>
          <a:r>
            <a:rPr kumimoji="1"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万円</a:t>
          </a:r>
          <a:r>
            <a:rPr kumimoji="1" lang="ja-JP" altLang="ja-JP" sz="1000" b="0" i="0" baseline="0">
              <a:effectLst/>
              <a:latin typeface="+mn-ea"/>
              <a:ea typeface="+mn-ea"/>
              <a:cs typeface="+mn-cs"/>
            </a:rPr>
            <a:t>・後期</a:t>
          </a:r>
          <a:r>
            <a:rPr kumimoji="1" lang="ja-JP" altLang="en-US" sz="1000" b="0" i="0" baseline="0">
              <a:effectLst/>
              <a:latin typeface="+mn-ea"/>
              <a:ea typeface="+mn-ea"/>
              <a:cs typeface="+mn-cs"/>
            </a:rPr>
            <a:t>高齢者支援金</a:t>
          </a:r>
          <a:r>
            <a:rPr kumimoji="1" lang="ja-JP" altLang="ja-JP" sz="1000" b="0" i="0" baseline="0"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0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</a:t>
          </a:r>
          <a:r>
            <a:rPr kumimoji="1" lang="ja-JP" altLang="ja-JP" sz="1000" b="0" i="0" baseline="0">
              <a:effectLst/>
              <a:latin typeface="+mn-ea"/>
              <a:ea typeface="+mn-ea"/>
              <a:cs typeface="+mn-cs"/>
            </a:rPr>
            <a:t>万円</a:t>
          </a:r>
          <a:r>
            <a:rPr kumimoji="1"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・介護保険分</a:t>
          </a:r>
          <a:r>
            <a:rPr kumimoji="1"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17</a:t>
          </a:r>
          <a:r>
            <a:rPr kumimoji="1"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万円</a:t>
          </a:r>
          <a:r>
            <a:rPr kumimoji="1"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endParaRPr kumimoji="1" lang="ja-JP" altLang="en-US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12</xdr:col>
      <xdr:colOff>114300</xdr:colOff>
      <xdr:row>54</xdr:row>
      <xdr:rowOff>111125</xdr:rowOff>
    </xdr:from>
    <xdr:to>
      <xdr:col>23</xdr:col>
      <xdr:colOff>79679</xdr:colOff>
      <xdr:row>57</xdr:row>
      <xdr:rowOff>97717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39714226-ED67-4C39-A061-3DDFF2B92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26050" y="11779250"/>
          <a:ext cx="3553129" cy="637467"/>
        </a:xfrm>
        <a:prstGeom prst="rect">
          <a:avLst/>
        </a:prstGeom>
      </xdr:spPr>
    </xdr:pic>
    <xdr:clientData/>
  </xdr:twoCellAnchor>
  <xdr:twoCellAnchor>
    <xdr:from>
      <xdr:col>0</xdr:col>
      <xdr:colOff>209550</xdr:colOff>
      <xdr:row>0</xdr:row>
      <xdr:rowOff>114300</xdr:rowOff>
    </xdr:from>
    <xdr:to>
      <xdr:col>23</xdr:col>
      <xdr:colOff>168275</xdr:colOff>
      <xdr:row>0</xdr:row>
      <xdr:rowOff>472787</xdr:rowOff>
    </xdr:to>
    <xdr:sp macro="" textlink="">
      <xdr:nvSpPr>
        <xdr:cNvPr id="46" name="WordArt 27">
          <a:extLst>
            <a:ext uri="{FF2B5EF4-FFF2-40B4-BE49-F238E27FC236}">
              <a16:creationId xmlns:a16="http://schemas.microsoft.com/office/drawing/2014/main" id="{F929D2CA-FFE1-4B78-AFBA-D65A761F40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9550" y="114300"/>
          <a:ext cx="8216900" cy="35848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宇都宮市　国民健康保険税額簡易試算表　</a:t>
          </a:r>
          <a:endParaRPr lang="en-US" altLang="ja-JP" sz="2000" b="1" i="0" u="none" strike="noStrike" baseline="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85723</xdr:colOff>
      <xdr:row>14</xdr:row>
      <xdr:rowOff>38101</xdr:rowOff>
    </xdr:from>
    <xdr:to>
      <xdr:col>20</xdr:col>
      <xdr:colOff>200025</xdr:colOff>
      <xdr:row>19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88960F90-2E8D-495E-91FC-D70A1312FACF}"/>
            </a:ext>
          </a:extLst>
        </xdr:cNvPr>
        <xdr:cNvSpPr/>
      </xdr:nvSpPr>
      <xdr:spPr bwMode="auto">
        <a:xfrm>
          <a:off x="514348" y="3448051"/>
          <a:ext cx="7515227" cy="1162049"/>
        </a:xfrm>
        <a:prstGeom prst="roundRect">
          <a:avLst/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horzOverflow="clip" wrap="square" lIns="27432" tIns="18288" rIns="0" bIns="0" rtlCol="0" anchor="t" upright="1"/>
        <a:lstStyle/>
        <a:p>
          <a:pPr algn="l" rtl="0">
            <a:lnSpc>
              <a:spcPts val="1100"/>
            </a:lnSpc>
          </a:pPr>
          <a:endParaRPr kumimoji="1" lang="ja-JP" altLang="en-US" sz="900" b="0" i="0" u="sng" strike="noStrike" baseline="0">
            <a:solidFill>
              <a:srgbClr val="C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20</xdr:col>
      <xdr:colOff>200024</xdr:colOff>
      <xdr:row>1</xdr:row>
      <xdr:rowOff>5869</xdr:rowOff>
    </xdr:from>
    <xdr:to>
      <xdr:col>23</xdr:col>
      <xdr:colOff>257174</xdr:colOff>
      <xdr:row>4</xdr:row>
      <xdr:rowOff>67605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233456C-22D1-47F4-A791-E3485EE25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9574" y="586894"/>
          <a:ext cx="1133475" cy="795161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23</xdr:row>
      <xdr:rowOff>133350</xdr:rowOff>
    </xdr:from>
    <xdr:to>
      <xdr:col>1</xdr:col>
      <xdr:colOff>28575</xdr:colOff>
      <xdr:row>39</xdr:row>
      <xdr:rowOff>161925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7EB70126-2DF6-4FC1-B192-3214EB0D40EA}"/>
            </a:ext>
          </a:extLst>
        </xdr:cNvPr>
        <xdr:cNvGrpSpPr/>
      </xdr:nvGrpSpPr>
      <xdr:grpSpPr>
        <a:xfrm>
          <a:off x="142875" y="5686425"/>
          <a:ext cx="266700" cy="3476625"/>
          <a:chOff x="142875" y="5591175"/>
          <a:chExt cx="209550" cy="3362325"/>
        </a:xfrm>
      </xdr:grpSpPr>
      <xdr:cxnSp macro="">
        <xdr:nvCxnSpPr>
          <xdr:cNvPr id="5" name="直線矢印コネクタ 2">
            <a:extLst>
              <a:ext uri="{FF2B5EF4-FFF2-40B4-BE49-F238E27FC236}">
                <a16:creationId xmlns:a16="http://schemas.microsoft.com/office/drawing/2014/main" id="{3433D071-7FBB-4B7A-81BC-6FCC47E1A552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71450" y="6134100"/>
            <a:ext cx="180975" cy="0"/>
          </a:xfrm>
          <a:prstGeom prst="straightConnector1">
            <a:avLst/>
          </a:prstGeom>
          <a:noFill/>
          <a:ln w="28575" algn="ctr">
            <a:solidFill>
              <a:srgbClr val="FF0000"/>
            </a:solidFill>
            <a:prstDash val="sysDash"/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1E7F8C3A-F048-431A-B6B6-19CCAB48766A}"/>
              </a:ext>
            </a:extLst>
          </xdr:cNvPr>
          <xdr:cNvCxnSpPr/>
        </xdr:nvCxnSpPr>
        <xdr:spPr bwMode="auto">
          <a:xfrm>
            <a:off x="142875" y="5591175"/>
            <a:ext cx="19050" cy="3362325"/>
          </a:xfrm>
          <a:prstGeom prst="line">
            <a:avLst/>
          </a:prstGeom>
          <a:solidFill>
            <a:srgbClr val="090000"/>
          </a:solidFill>
          <a:ln w="28575" cap="flat" cmpd="sng" algn="ctr">
            <a:solidFill>
              <a:srgbClr val="FF0000"/>
            </a:solidFill>
            <a:prstDash val="sysDash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" name="直線矢印コネクタ 2">
            <a:extLst>
              <a:ext uri="{FF2B5EF4-FFF2-40B4-BE49-F238E27FC236}">
                <a16:creationId xmlns:a16="http://schemas.microsoft.com/office/drawing/2014/main" id="{A3C1E2EF-ACE8-46D2-B8D9-1B0728DDC5A8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61925" y="8943975"/>
            <a:ext cx="180975" cy="0"/>
          </a:xfrm>
          <a:prstGeom prst="straightConnector1">
            <a:avLst/>
          </a:prstGeom>
          <a:noFill/>
          <a:ln w="28575" algn="ctr">
            <a:solidFill>
              <a:srgbClr val="FF0000"/>
            </a:solidFill>
            <a:prstDash val="sysDash"/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ED0433DE-EDC7-4DC9-BDDE-837029F59EC9}"/>
              </a:ext>
            </a:extLst>
          </xdr:cNvPr>
          <xdr:cNvCxnSpPr/>
        </xdr:nvCxnSpPr>
        <xdr:spPr bwMode="auto">
          <a:xfrm>
            <a:off x="142875" y="5600700"/>
            <a:ext cx="209550" cy="0"/>
          </a:xfrm>
          <a:prstGeom prst="line">
            <a:avLst/>
          </a:prstGeom>
          <a:solidFill>
            <a:srgbClr val="090000"/>
          </a:solidFill>
          <a:ln w="28575" cap="flat" cmpd="sng" algn="ctr">
            <a:solidFill>
              <a:srgbClr val="FF0000"/>
            </a:solidFill>
            <a:prstDash val="sysDash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10</xdr:col>
      <xdr:colOff>285750</xdr:colOff>
      <xdr:row>44</xdr:row>
      <xdr:rowOff>152400</xdr:rowOff>
    </xdr:from>
    <xdr:to>
      <xdr:col>15</xdr:col>
      <xdr:colOff>38100</xdr:colOff>
      <xdr:row>46</xdr:row>
      <xdr:rowOff>38100</xdr:rowOff>
    </xdr:to>
    <xdr:sp macro="" textlink="">
      <xdr:nvSpPr>
        <xdr:cNvPr id="9" name="二等辺三角形 8">
          <a:extLst>
            <a:ext uri="{FF2B5EF4-FFF2-40B4-BE49-F238E27FC236}">
              <a16:creationId xmlns:a16="http://schemas.microsoft.com/office/drawing/2014/main" id="{DABB549F-C9BB-4053-AB64-AA321E52ED57}"/>
            </a:ext>
          </a:extLst>
        </xdr:cNvPr>
        <xdr:cNvSpPr/>
      </xdr:nvSpPr>
      <xdr:spPr bwMode="auto">
        <a:xfrm rot="10800000">
          <a:off x="4876800" y="10258425"/>
          <a:ext cx="1381125" cy="304800"/>
        </a:xfrm>
        <a:prstGeom prst="triangle">
          <a:avLst/>
        </a:prstGeom>
        <a:solidFill>
          <a:srgbClr val="002060"/>
        </a:solidFill>
        <a:ln w="9525">
          <a:noFill/>
          <a:round/>
          <a:headEnd/>
          <a:tailEnd/>
        </a:ln>
      </xdr:spPr>
      <xdr:txBody>
        <a:bodyPr vertOverflow="clip" horzOverflow="clip" wrap="square" lIns="27432" tIns="18288" rIns="0" bIns="0" rtlCol="0" anchor="t" upright="1"/>
        <a:lstStyle/>
        <a:p>
          <a:pPr algn="l" rtl="0">
            <a:lnSpc>
              <a:spcPts val="1100"/>
            </a:lnSpc>
          </a:pPr>
          <a:endParaRPr kumimoji="1" lang="ja-JP" altLang="en-US" sz="900" b="0" i="0" u="sng" strike="noStrike" baseline="0">
            <a:solidFill>
              <a:srgbClr val="C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11</xdr:col>
      <xdr:colOff>0</xdr:colOff>
      <xdr:row>54</xdr:row>
      <xdr:rowOff>127000</xdr:rowOff>
    </xdr:from>
    <xdr:to>
      <xdr:col>14</xdr:col>
      <xdr:colOff>104747</xdr:colOff>
      <xdr:row>56</xdr:row>
      <xdr:rowOff>39394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97E2EE8F-8B79-4CEB-9310-9285B10F4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6325" y="12290425"/>
          <a:ext cx="1142972" cy="27434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48</xdr:row>
      <xdr:rowOff>171450</xdr:rowOff>
    </xdr:from>
    <xdr:to>
      <xdr:col>4</xdr:col>
      <xdr:colOff>1244518</xdr:colOff>
      <xdr:row>52</xdr:row>
      <xdr:rowOff>23305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6C22012F-EA84-49CA-8A60-BCE598BD4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" y="10972800"/>
          <a:ext cx="1987468" cy="737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19049</xdr:colOff>
      <xdr:row>1</xdr:row>
      <xdr:rowOff>6351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9692B9B0-7C42-4419-AD31-84FC7F957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9401174" cy="587376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55</xdr:row>
      <xdr:rowOff>82550</xdr:rowOff>
    </xdr:from>
    <xdr:to>
      <xdr:col>11</xdr:col>
      <xdr:colOff>142875</xdr:colOff>
      <xdr:row>57</xdr:row>
      <xdr:rowOff>57150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E00EC84A-7D85-4B72-82BE-7E6F3461B8C7}"/>
            </a:ext>
          </a:extLst>
        </xdr:cNvPr>
        <xdr:cNvSpPr/>
      </xdr:nvSpPr>
      <xdr:spPr bwMode="auto">
        <a:xfrm>
          <a:off x="228600" y="12436475"/>
          <a:ext cx="4800600" cy="431800"/>
        </a:xfrm>
        <a:prstGeom prst="wedgeRoundRectCallout">
          <a:avLst>
            <a:gd name="adj1" fmla="val 39734"/>
            <a:gd name="adj2" fmla="val -102431"/>
            <a:gd name="adj3" fmla="val 16667"/>
          </a:avLst>
        </a:prstGeom>
        <a:solidFill>
          <a:srgbClr val="FFD5FA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clip" wrap="square" lIns="27432" tIns="18288" rIns="0" bIns="0" rtlCol="0" anchor="ctr" upright="1"/>
        <a:lstStyle/>
        <a:p>
          <a:pPr algn="l" rtl="0">
            <a:lnSpc>
              <a:spcPts val="1100"/>
            </a:lnSpc>
          </a:pPr>
          <a:r>
            <a:rPr kumimoji="1"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　最高限度額は９９万円です。</a:t>
          </a:r>
          <a:endParaRPr kumimoji="1" lang="en-US" altLang="ja-JP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lnSpc>
              <a:spcPts val="1100"/>
            </a:lnSpc>
          </a:pPr>
          <a:r>
            <a:rPr kumimoji="1"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内訳：医療保険分</a:t>
          </a:r>
          <a:r>
            <a:rPr kumimoji="1"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63</a:t>
          </a:r>
          <a:r>
            <a:rPr kumimoji="1"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万円</a:t>
          </a:r>
          <a:r>
            <a:rPr kumimoji="1" lang="ja-JP" altLang="ja-JP" sz="1000" b="0" i="0" baseline="0">
              <a:effectLst/>
              <a:latin typeface="+mn-ea"/>
              <a:ea typeface="+mn-ea"/>
              <a:cs typeface="+mn-cs"/>
            </a:rPr>
            <a:t>・後期</a:t>
          </a:r>
          <a:r>
            <a:rPr kumimoji="1" lang="ja-JP" altLang="en-US" sz="1000" b="0" i="0" baseline="0">
              <a:effectLst/>
              <a:latin typeface="+mn-ea"/>
              <a:ea typeface="+mn-ea"/>
              <a:cs typeface="+mn-cs"/>
            </a:rPr>
            <a:t>高齢者支援金</a:t>
          </a:r>
          <a:r>
            <a:rPr kumimoji="1" lang="ja-JP" altLang="ja-JP" sz="1000" b="0" i="0" baseline="0">
              <a:effectLst/>
              <a:latin typeface="+mn-ea"/>
              <a:ea typeface="+mn-ea"/>
              <a:cs typeface="+mn-cs"/>
            </a:rPr>
            <a:t>分</a:t>
          </a:r>
          <a:r>
            <a:rPr kumimoji="1"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19</a:t>
          </a:r>
          <a:r>
            <a:rPr kumimoji="1" lang="ja-JP" altLang="ja-JP" sz="1000" b="0" i="0" baseline="0">
              <a:effectLst/>
              <a:latin typeface="+mn-ea"/>
              <a:ea typeface="+mn-ea"/>
              <a:cs typeface="+mn-cs"/>
            </a:rPr>
            <a:t>万円</a:t>
          </a:r>
          <a:r>
            <a:rPr kumimoji="1"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・介護保険分</a:t>
          </a:r>
          <a:r>
            <a:rPr kumimoji="1"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17</a:t>
          </a:r>
          <a:r>
            <a:rPr kumimoji="1"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万円</a:t>
          </a:r>
          <a:r>
            <a:rPr kumimoji="1"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endParaRPr kumimoji="1" lang="ja-JP" altLang="en-US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12</xdr:col>
      <xdr:colOff>114300</xdr:colOff>
      <xdr:row>54</xdr:row>
      <xdr:rowOff>111125</xdr:rowOff>
    </xdr:from>
    <xdr:to>
      <xdr:col>23</xdr:col>
      <xdr:colOff>79679</xdr:colOff>
      <xdr:row>57</xdr:row>
      <xdr:rowOff>97717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213D6C08-1D76-47C5-A219-14021C94E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76875" y="12274550"/>
          <a:ext cx="3508679" cy="634292"/>
        </a:xfrm>
        <a:prstGeom prst="rect">
          <a:avLst/>
        </a:prstGeom>
      </xdr:spPr>
    </xdr:pic>
    <xdr:clientData/>
  </xdr:twoCellAnchor>
  <xdr:twoCellAnchor>
    <xdr:from>
      <xdr:col>0</xdr:col>
      <xdr:colOff>209550</xdr:colOff>
      <xdr:row>0</xdr:row>
      <xdr:rowOff>114300</xdr:rowOff>
    </xdr:from>
    <xdr:to>
      <xdr:col>23</xdr:col>
      <xdr:colOff>168275</xdr:colOff>
      <xdr:row>0</xdr:row>
      <xdr:rowOff>472787</xdr:rowOff>
    </xdr:to>
    <xdr:sp macro="" textlink="">
      <xdr:nvSpPr>
        <xdr:cNvPr id="15" name="WordArt 27">
          <a:extLst>
            <a:ext uri="{FF2B5EF4-FFF2-40B4-BE49-F238E27FC236}">
              <a16:creationId xmlns:a16="http://schemas.microsoft.com/office/drawing/2014/main" id="{3D277235-24A2-4A64-8436-B1D50C2365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9550" y="114300"/>
          <a:ext cx="8864600" cy="35848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宇都宮市　国民健康保険税額簡易試算表　</a:t>
          </a:r>
          <a:endParaRPr lang="en-US" altLang="ja-JP" sz="2000" b="1" i="0" u="none" strike="noStrike" baseline="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a:spPr>
      <a:bodyPr vertOverflow="clip" wrap="square" lIns="27432" tIns="18288" rIns="0" bIns="0" anchor="t" upright="1"/>
      <a:lstStyle>
        <a:defPPr algn="l" rtl="0">
          <a:lnSpc>
            <a:spcPts val="1100"/>
          </a:lnSpc>
          <a:defRPr sz="900" b="0" i="0" u="sng" strike="noStrike" baseline="0">
            <a:solidFill>
              <a:srgbClr val="C00000"/>
            </a:solidFill>
            <a:latin typeface="ＭＳ Ｐゴシック"/>
            <a:ea typeface="ＭＳ Ｐゴシック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39DE3-DC25-4F43-9ADF-0E8B13378E20}">
  <sheetPr>
    <pageSetUpPr fitToPage="1"/>
  </sheetPr>
  <dimension ref="A1:AU68"/>
  <sheetViews>
    <sheetView tabSelected="1" view="pageBreakPreview" zoomScaleNormal="100" zoomScaleSheetLayoutView="100" workbookViewId="0">
      <selection activeCell="F26" sqref="F26:G27"/>
    </sheetView>
  </sheetViews>
  <sheetFormatPr defaultColWidth="2.75" defaultRowHeight="13.5" x14ac:dyDescent="0.15"/>
  <cols>
    <col min="1" max="1" width="5" customWidth="1"/>
    <col min="2" max="2" width="0.625" style="112" customWidth="1"/>
    <col min="3" max="3" width="2.625" customWidth="1"/>
    <col min="4" max="4" width="2.75" customWidth="1"/>
    <col min="5" max="5" width="19.375" customWidth="1"/>
    <col min="6" max="6" width="5.75" customWidth="1"/>
    <col min="7" max="7" width="12.875" customWidth="1"/>
    <col min="8" max="8" width="3.5" customWidth="1"/>
    <col min="9" max="11" width="3.875" customWidth="1"/>
    <col min="12" max="12" width="6.25" customWidth="1"/>
    <col min="13" max="13" width="3.5" customWidth="1"/>
    <col min="14" max="16" width="3.875" customWidth="1"/>
    <col min="17" max="17" width="6" customWidth="1"/>
    <col min="18" max="18" width="3.5" customWidth="1"/>
    <col min="19" max="20" width="3.875" customWidth="1"/>
    <col min="21" max="21" width="4.625" customWidth="1"/>
    <col min="22" max="22" width="6" customWidth="1"/>
    <col min="23" max="23" width="3.5" customWidth="1"/>
    <col min="24" max="24" width="6.25" customWidth="1"/>
    <col min="25" max="25" width="5.25" hidden="1" customWidth="1"/>
    <col min="26" max="26" width="24.875" hidden="1" customWidth="1"/>
    <col min="27" max="27" width="3.375" hidden="1" customWidth="1"/>
    <col min="28" max="29" width="9.75" customWidth="1"/>
    <col min="30" max="30" width="11.75" customWidth="1"/>
    <col min="31" max="31" width="15.375" customWidth="1"/>
    <col min="32" max="32" width="12.625" customWidth="1"/>
    <col min="33" max="35" width="19.25" customWidth="1"/>
    <col min="36" max="36" width="12.625" customWidth="1"/>
    <col min="37" max="37" width="18.125" customWidth="1"/>
    <col min="38" max="46" width="12.625" customWidth="1"/>
  </cols>
  <sheetData>
    <row r="1" spans="1:30" ht="45.75" customHeight="1" thickBot="1" x14ac:dyDescent="0.2">
      <c r="A1" s="7"/>
      <c r="B1" s="111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20.25" customHeight="1" x14ac:dyDescent="0.2">
      <c r="A2" s="119"/>
      <c r="B2" s="120"/>
      <c r="C2" s="121" t="s">
        <v>68</v>
      </c>
      <c r="D2" s="122" t="s">
        <v>120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0"/>
      <c r="X2" s="124"/>
      <c r="Y2" s="7"/>
      <c r="Z2" s="7"/>
      <c r="AA2" s="7"/>
      <c r="AB2" s="7"/>
      <c r="AC2" s="7"/>
    </row>
    <row r="3" spans="1:30" ht="18.75" customHeight="1" x14ac:dyDescent="0.2">
      <c r="A3" s="53"/>
      <c r="B3" s="54"/>
      <c r="C3" s="55" t="s">
        <v>68</v>
      </c>
      <c r="D3" s="75" t="s">
        <v>103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56"/>
      <c r="Q3" s="56"/>
      <c r="R3" s="56"/>
      <c r="S3" s="56"/>
      <c r="T3" s="56"/>
      <c r="U3" s="56"/>
      <c r="V3" s="57"/>
      <c r="W3" s="54"/>
      <c r="X3" s="58"/>
      <c r="Y3" s="7"/>
      <c r="Z3" s="7"/>
      <c r="AA3" s="7"/>
      <c r="AB3" s="7"/>
      <c r="AC3" s="7"/>
    </row>
    <row r="4" spans="1:30" ht="18.75" customHeight="1" x14ac:dyDescent="0.2">
      <c r="A4" s="53"/>
      <c r="B4" s="54"/>
      <c r="C4" s="55" t="s">
        <v>68</v>
      </c>
      <c r="D4" s="56" t="s">
        <v>91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  <c r="W4" s="54"/>
      <c r="X4" s="58"/>
      <c r="Y4" s="7"/>
      <c r="Z4" s="7"/>
      <c r="AA4" s="7"/>
      <c r="AB4" s="7"/>
      <c r="AC4" s="7"/>
    </row>
    <row r="5" spans="1:30" ht="6" customHeight="1" x14ac:dyDescent="0.2">
      <c r="A5" s="53"/>
      <c r="B5" s="54"/>
      <c r="C5" s="5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4"/>
      <c r="X5" s="58"/>
      <c r="Y5" s="7"/>
      <c r="Z5" s="7"/>
      <c r="AA5" s="7"/>
      <c r="AB5" s="7"/>
      <c r="AC5" s="7"/>
    </row>
    <row r="6" spans="1:30" s="168" customFormat="1" ht="21" customHeight="1" x14ac:dyDescent="0.15">
      <c r="A6" s="60"/>
      <c r="B6" s="134"/>
      <c r="C6" s="212" t="s">
        <v>79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61"/>
      <c r="Y6" s="116"/>
      <c r="Z6" s="62"/>
      <c r="AA6" s="62"/>
      <c r="AB6" s="62"/>
      <c r="AC6" s="62"/>
    </row>
    <row r="7" spans="1:30" ht="17.25" customHeight="1" x14ac:dyDescent="0.15">
      <c r="A7" s="63"/>
      <c r="B7" s="64"/>
      <c r="C7" s="65">
        <v>1</v>
      </c>
      <c r="D7" s="66" t="s">
        <v>104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7"/>
      <c r="Y7" s="133"/>
      <c r="Z7" s="13"/>
      <c r="AA7" s="13"/>
      <c r="AB7" s="13"/>
      <c r="AC7" s="13"/>
    </row>
    <row r="8" spans="1:30" ht="17.25" customHeight="1" x14ac:dyDescent="0.15">
      <c r="A8" s="63"/>
      <c r="B8" s="64"/>
      <c r="C8" s="65"/>
      <c r="D8" s="66" t="s">
        <v>102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  <c r="Y8" s="15"/>
      <c r="Z8" s="13"/>
      <c r="AA8" s="13"/>
      <c r="AB8" s="13"/>
      <c r="AC8" s="13"/>
    </row>
    <row r="9" spans="1:30" ht="17.25" customHeight="1" x14ac:dyDescent="0.15">
      <c r="A9" s="63"/>
      <c r="B9" s="64"/>
      <c r="C9" s="65">
        <v>2</v>
      </c>
      <c r="D9" s="66" t="s">
        <v>115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7"/>
      <c r="Y9" s="15"/>
      <c r="Z9" s="13"/>
      <c r="AA9" s="13"/>
      <c r="AB9" s="13"/>
      <c r="AC9" s="13"/>
    </row>
    <row r="10" spans="1:30" ht="17.25" customHeight="1" x14ac:dyDescent="0.2">
      <c r="A10" s="63"/>
      <c r="B10" s="64"/>
      <c r="C10" s="65">
        <v>3</v>
      </c>
      <c r="D10" s="68" t="s">
        <v>95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6"/>
      <c r="S10" s="66"/>
      <c r="T10" s="66"/>
      <c r="U10" s="66"/>
      <c r="V10" s="66"/>
      <c r="W10" s="66"/>
      <c r="X10" s="67"/>
      <c r="Y10" s="15"/>
      <c r="Z10" s="13"/>
      <c r="AA10" s="13"/>
      <c r="AB10" s="13"/>
      <c r="AC10" s="13"/>
    </row>
    <row r="11" spans="1:30" ht="17.25" customHeight="1" x14ac:dyDescent="0.15">
      <c r="A11" s="63"/>
      <c r="B11" s="64"/>
      <c r="C11" s="65">
        <v>4</v>
      </c>
      <c r="D11" s="70" t="s">
        <v>80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  <c r="Y11" s="117"/>
      <c r="Z11" s="14"/>
      <c r="AA11" s="14"/>
      <c r="AB11" s="14"/>
      <c r="AC11" s="14"/>
    </row>
    <row r="12" spans="1:30" ht="17.25" customHeight="1" x14ac:dyDescent="0.15">
      <c r="A12" s="63"/>
      <c r="B12" s="64"/>
      <c r="C12" s="65"/>
      <c r="D12" s="70" t="s">
        <v>81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2"/>
      <c r="Y12" s="117"/>
      <c r="Z12" s="14"/>
      <c r="AA12" s="14"/>
      <c r="AB12" s="14"/>
      <c r="AC12" s="14"/>
    </row>
    <row r="13" spans="1:30" ht="17.25" customHeight="1" x14ac:dyDescent="0.15">
      <c r="A13" s="63"/>
      <c r="B13" s="64"/>
      <c r="C13" s="65">
        <v>5</v>
      </c>
      <c r="D13" s="70" t="s">
        <v>90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117"/>
      <c r="Z13" s="14"/>
      <c r="AA13" s="14"/>
      <c r="AB13" s="14"/>
      <c r="AC13" s="14"/>
    </row>
    <row r="14" spans="1:30" ht="17.25" customHeight="1" x14ac:dyDescent="0.15">
      <c r="A14" s="63"/>
      <c r="B14" s="64"/>
      <c r="C14" s="65"/>
      <c r="D14" s="66" t="s">
        <v>71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7"/>
      <c r="Y14" s="15"/>
      <c r="Z14" s="13"/>
      <c r="AA14" s="13"/>
      <c r="AB14" s="13"/>
      <c r="AC14" s="13"/>
    </row>
    <row r="15" spans="1:30" ht="18.75" customHeight="1" x14ac:dyDescent="0.15">
      <c r="A15" s="53"/>
      <c r="B15" s="54"/>
      <c r="C15" s="73"/>
      <c r="D15" s="74" t="s">
        <v>67</v>
      </c>
      <c r="E15" s="75" t="s">
        <v>92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57"/>
      <c r="Q15" s="57"/>
      <c r="R15" s="76"/>
      <c r="S15" s="76"/>
      <c r="T15" s="76"/>
      <c r="U15" s="76"/>
      <c r="V15" s="76"/>
      <c r="W15" s="76"/>
      <c r="X15" s="77"/>
      <c r="Y15" s="15"/>
      <c r="Z15" s="13"/>
      <c r="AA15" s="13"/>
      <c r="AB15" s="13"/>
      <c r="AC15" s="13"/>
    </row>
    <row r="16" spans="1:30" s="168" customFormat="1" ht="17.25" customHeight="1" x14ac:dyDescent="0.15">
      <c r="A16" s="78"/>
      <c r="B16" s="79"/>
      <c r="C16" s="80"/>
      <c r="D16" s="81"/>
      <c r="E16" s="82" t="s">
        <v>82</v>
      </c>
      <c r="F16" s="82"/>
      <c r="G16" s="82"/>
      <c r="H16" s="82"/>
      <c r="I16" s="82"/>
      <c r="J16" s="82"/>
      <c r="K16" s="82"/>
      <c r="L16" s="82"/>
      <c r="M16" s="82"/>
      <c r="N16" s="82"/>
      <c r="O16" s="83"/>
      <c r="P16" s="84"/>
      <c r="Q16" s="84"/>
      <c r="R16" s="84"/>
      <c r="S16" s="84"/>
      <c r="T16" s="84"/>
      <c r="U16" s="84"/>
      <c r="V16" s="84"/>
      <c r="W16" s="84"/>
      <c r="X16" s="85"/>
      <c r="Y16" s="48"/>
      <c r="Z16" s="16"/>
      <c r="AA16" s="16"/>
      <c r="AB16" s="16"/>
      <c r="AC16" s="16"/>
    </row>
    <row r="17" spans="1:47" s="168" customFormat="1" ht="17.25" customHeight="1" x14ac:dyDescent="0.15">
      <c r="A17" s="78"/>
      <c r="B17" s="79"/>
      <c r="C17" s="174"/>
      <c r="D17" s="87"/>
      <c r="E17" s="82" t="s">
        <v>96</v>
      </c>
      <c r="F17" s="82"/>
      <c r="G17" s="82"/>
      <c r="H17" s="82"/>
      <c r="I17" s="82"/>
      <c r="J17" s="82"/>
      <c r="K17" s="82"/>
      <c r="L17" s="82"/>
      <c r="M17" s="82"/>
      <c r="N17" s="82"/>
      <c r="O17" s="83"/>
      <c r="P17" s="84"/>
      <c r="Q17" s="84"/>
      <c r="R17" s="84"/>
      <c r="S17" s="84"/>
      <c r="T17" s="84"/>
      <c r="U17" s="84"/>
      <c r="V17" s="84"/>
      <c r="W17" s="84"/>
      <c r="X17" s="85"/>
      <c r="Y17" s="48"/>
      <c r="Z17" s="16"/>
      <c r="AA17" s="16"/>
      <c r="AB17" s="16"/>
      <c r="AC17" s="16"/>
    </row>
    <row r="18" spans="1:47" s="168" customFormat="1" ht="17.25" customHeight="1" x14ac:dyDescent="0.15">
      <c r="A18" s="78"/>
      <c r="B18" s="79"/>
      <c r="C18" s="174"/>
      <c r="D18" s="87"/>
      <c r="E18" s="82" t="s">
        <v>122</v>
      </c>
      <c r="F18" s="82"/>
      <c r="G18" s="82"/>
      <c r="H18" s="82"/>
      <c r="I18" s="82"/>
      <c r="J18" s="82"/>
      <c r="K18" s="82"/>
      <c r="L18" s="82"/>
      <c r="M18" s="82"/>
      <c r="N18" s="82"/>
      <c r="O18" s="83"/>
      <c r="P18" s="84"/>
      <c r="Q18" s="84"/>
      <c r="R18" s="84"/>
      <c r="S18" s="84"/>
      <c r="T18" s="84"/>
      <c r="U18" s="84"/>
      <c r="V18" s="84"/>
      <c r="W18" s="84"/>
      <c r="X18" s="85"/>
      <c r="Y18" s="48"/>
      <c r="Z18" s="16"/>
      <c r="AA18" s="16"/>
      <c r="AB18" s="16"/>
      <c r="AC18" s="16"/>
    </row>
    <row r="19" spans="1:47" s="168" customFormat="1" ht="17.25" customHeight="1" x14ac:dyDescent="0.15">
      <c r="A19" s="78"/>
      <c r="B19" s="79"/>
      <c r="C19" s="174"/>
      <c r="D19" s="87"/>
      <c r="E19" s="97" t="s">
        <v>94</v>
      </c>
      <c r="F19" s="82"/>
      <c r="G19" s="88"/>
      <c r="H19" s="89"/>
      <c r="I19" s="88"/>
      <c r="J19" s="88"/>
      <c r="K19" s="88"/>
      <c r="L19" s="88"/>
      <c r="M19" s="88"/>
      <c r="N19" s="88"/>
      <c r="O19" s="90"/>
      <c r="P19" s="91"/>
      <c r="Q19" s="91"/>
      <c r="R19" s="91"/>
      <c r="S19" s="91"/>
      <c r="T19" s="91"/>
      <c r="U19" s="91"/>
      <c r="V19" s="91"/>
      <c r="W19" s="91"/>
      <c r="X19" s="92"/>
      <c r="Y19" s="49"/>
      <c r="Z19" s="17"/>
      <c r="AA19" s="17"/>
      <c r="AB19" s="17"/>
      <c r="AC19" s="17"/>
    </row>
    <row r="20" spans="1:47" s="104" customFormat="1" ht="27" customHeight="1" x14ac:dyDescent="0.15">
      <c r="A20" s="93"/>
      <c r="B20" s="94"/>
      <c r="C20" s="95"/>
      <c r="D20" s="96"/>
      <c r="E20" s="148"/>
      <c r="F20" s="97"/>
      <c r="G20" s="98"/>
      <c r="H20" s="99"/>
      <c r="I20" s="98"/>
      <c r="J20" s="98"/>
      <c r="K20" s="98"/>
      <c r="L20" s="98"/>
      <c r="M20" s="98"/>
      <c r="N20" s="98"/>
      <c r="O20" s="100"/>
      <c r="P20" s="101"/>
      <c r="Q20" s="101"/>
      <c r="R20" s="101"/>
      <c r="S20" s="101"/>
      <c r="T20" s="101"/>
      <c r="U20" s="101"/>
      <c r="V20" s="101"/>
      <c r="W20" s="101"/>
      <c r="X20" s="102"/>
      <c r="Y20" s="118"/>
      <c r="Z20" s="103"/>
      <c r="AA20" s="103"/>
      <c r="AB20" s="103"/>
      <c r="AC20" s="103"/>
    </row>
    <row r="21" spans="1:47" s="168" customFormat="1" ht="26.25" customHeight="1" thickBot="1" x14ac:dyDescent="0.2">
      <c r="A21" s="213" t="s">
        <v>83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5"/>
      <c r="Y21" s="62"/>
      <c r="Z21" s="62"/>
      <c r="AA21" s="62"/>
      <c r="AB21" s="62"/>
      <c r="AC21" s="62"/>
    </row>
    <row r="22" spans="1:47" ht="14.25" customHeight="1" thickBot="1" x14ac:dyDescent="0.2">
      <c r="A22" s="53"/>
      <c r="B22" s="54"/>
      <c r="C22" s="216" t="s">
        <v>64</v>
      </c>
      <c r="D22" s="216"/>
      <c r="E22" s="216"/>
      <c r="F22" s="216" t="s">
        <v>87</v>
      </c>
      <c r="G22" s="216"/>
      <c r="H22" s="216"/>
      <c r="I22" s="217" t="s">
        <v>65</v>
      </c>
      <c r="J22" s="217"/>
      <c r="K22" s="217"/>
      <c r="L22" s="217"/>
      <c r="M22" s="217"/>
      <c r="N22" s="217" t="s">
        <v>66</v>
      </c>
      <c r="O22" s="217"/>
      <c r="P22" s="217"/>
      <c r="Q22" s="217"/>
      <c r="R22" s="217"/>
      <c r="S22" s="216" t="s">
        <v>70</v>
      </c>
      <c r="T22" s="216"/>
      <c r="U22" s="216"/>
      <c r="V22" s="216"/>
      <c r="W22" s="216"/>
      <c r="X22" s="320" t="s">
        <v>105</v>
      </c>
      <c r="Y22" s="209" t="s">
        <v>135</v>
      </c>
      <c r="Z22" s="210" t="s">
        <v>137</v>
      </c>
      <c r="AA22" s="210"/>
      <c r="AB22" s="205"/>
      <c r="AC22" s="205"/>
      <c r="AD22" s="45"/>
    </row>
    <row r="23" spans="1:47" ht="13.5" customHeight="1" thickBot="1" x14ac:dyDescent="0.2">
      <c r="A23" s="53"/>
      <c r="B23" s="54"/>
      <c r="C23" s="216"/>
      <c r="D23" s="216"/>
      <c r="E23" s="216"/>
      <c r="F23" s="216"/>
      <c r="G23" s="216"/>
      <c r="H23" s="216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6"/>
      <c r="T23" s="216"/>
      <c r="U23" s="216"/>
      <c r="V23" s="216"/>
      <c r="W23" s="216"/>
      <c r="X23" s="321"/>
      <c r="Y23" s="209"/>
      <c r="Z23" s="210"/>
      <c r="AA23" s="210"/>
      <c r="AB23" s="205"/>
      <c r="AC23" s="205"/>
      <c r="AD23" s="45"/>
      <c r="AG23" t="s">
        <v>59</v>
      </c>
      <c r="AH23" s="44"/>
    </row>
    <row r="24" spans="1:47" ht="18.75" customHeight="1" thickBot="1" x14ac:dyDescent="0.2">
      <c r="A24" s="53"/>
      <c r="B24" s="54"/>
      <c r="C24" s="218" t="s">
        <v>101</v>
      </c>
      <c r="D24" s="218"/>
      <c r="E24" s="218"/>
      <c r="F24" s="219" t="s">
        <v>114</v>
      </c>
      <c r="G24" s="219"/>
      <c r="H24" s="219"/>
      <c r="I24" s="220" t="s">
        <v>121</v>
      </c>
      <c r="J24" s="220"/>
      <c r="K24" s="220"/>
      <c r="L24" s="220"/>
      <c r="M24" s="220"/>
      <c r="N24" s="220" t="s">
        <v>121</v>
      </c>
      <c r="O24" s="220"/>
      <c r="P24" s="220"/>
      <c r="Q24" s="220"/>
      <c r="R24" s="220"/>
      <c r="S24" s="221" t="s">
        <v>85</v>
      </c>
      <c r="T24" s="222"/>
      <c r="U24" s="222"/>
      <c r="V24" s="222"/>
      <c r="W24" s="222"/>
      <c r="X24" s="321"/>
      <c r="Y24" s="209"/>
      <c r="Z24" s="211" t="s">
        <v>136</v>
      </c>
      <c r="AA24" s="211"/>
      <c r="AB24" s="206"/>
      <c r="AC24" s="206"/>
      <c r="AD24" s="46"/>
      <c r="AE24" s="295" t="s">
        <v>134</v>
      </c>
      <c r="AF24" s="229" t="s">
        <v>106</v>
      </c>
      <c r="AG24" s="303"/>
      <c r="AH24" s="187" t="s">
        <v>17</v>
      </c>
      <c r="AI24" s="188" t="s">
        <v>127</v>
      </c>
      <c r="AJ24" s="297" t="s">
        <v>53</v>
      </c>
      <c r="AK24" s="189" t="s">
        <v>129</v>
      </c>
      <c r="AL24" s="195" t="s">
        <v>131</v>
      </c>
      <c r="AM24" s="299" t="s">
        <v>52</v>
      </c>
      <c r="AN24" s="190" t="s">
        <v>132</v>
      </c>
      <c r="AO24" s="301" t="s">
        <v>77</v>
      </c>
      <c r="AP24" s="293" t="s">
        <v>78</v>
      </c>
      <c r="AQ24" s="293" t="s">
        <v>88</v>
      </c>
      <c r="AR24" t="s">
        <v>4</v>
      </c>
    </row>
    <row r="25" spans="1:47" ht="22.5" customHeight="1" thickBot="1" x14ac:dyDescent="0.2">
      <c r="A25" s="53"/>
      <c r="B25" s="54"/>
      <c r="C25" s="218"/>
      <c r="D25" s="218"/>
      <c r="E25" s="218"/>
      <c r="F25" s="219"/>
      <c r="G25" s="219"/>
      <c r="H25" s="219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2"/>
      <c r="T25" s="222"/>
      <c r="U25" s="222"/>
      <c r="V25" s="222"/>
      <c r="W25" s="222"/>
      <c r="X25" s="321"/>
      <c r="Y25" s="209"/>
      <c r="Z25" s="211"/>
      <c r="AA25" s="211"/>
      <c r="AB25" s="206"/>
      <c r="AC25" s="206"/>
      <c r="AD25" s="46"/>
      <c r="AE25" s="296"/>
      <c r="AF25" s="230"/>
      <c r="AG25" s="304"/>
      <c r="AH25" s="191" t="s">
        <v>125</v>
      </c>
      <c r="AI25" s="192" t="s">
        <v>126</v>
      </c>
      <c r="AJ25" s="298"/>
      <c r="AK25" s="193" t="s">
        <v>128</v>
      </c>
      <c r="AL25" s="194" t="s">
        <v>130</v>
      </c>
      <c r="AM25" s="300"/>
      <c r="AN25" s="196" t="s">
        <v>133</v>
      </c>
      <c r="AO25" s="302"/>
      <c r="AP25" s="294"/>
      <c r="AQ25" s="294"/>
      <c r="AS25" s="2"/>
      <c r="AT25" s="33" t="s">
        <v>78</v>
      </c>
      <c r="AU25" s="3" t="s">
        <v>21</v>
      </c>
    </row>
    <row r="26" spans="1:47" ht="16.5" customHeight="1" thickBot="1" x14ac:dyDescent="0.2">
      <c r="A26" s="53"/>
      <c r="B26" s="54"/>
      <c r="C26" s="223" t="s">
        <v>49</v>
      </c>
      <c r="D26" s="223"/>
      <c r="E26" s="223"/>
      <c r="F26" s="224"/>
      <c r="G26" s="224"/>
      <c r="H26" s="225" t="s">
        <v>24</v>
      </c>
      <c r="I26" s="226"/>
      <c r="J26" s="226"/>
      <c r="K26" s="226"/>
      <c r="L26" s="226"/>
      <c r="M26" s="227" t="s">
        <v>0</v>
      </c>
      <c r="N26" s="226"/>
      <c r="O26" s="228"/>
      <c r="P26" s="228"/>
      <c r="Q26" s="228"/>
      <c r="R26" s="227" t="s">
        <v>0</v>
      </c>
      <c r="S26" s="226"/>
      <c r="T26" s="228"/>
      <c r="U26" s="228"/>
      <c r="V26" s="228"/>
      <c r="W26" s="227" t="s">
        <v>0</v>
      </c>
      <c r="X26" s="322"/>
      <c r="Y26" s="247"/>
      <c r="Z26" s="249"/>
      <c r="AA26" s="251" t="s">
        <v>138</v>
      </c>
      <c r="AB26" s="207"/>
      <c r="AC26" s="207"/>
      <c r="AD26" s="47"/>
      <c r="AE26" s="233">
        <f>IF(I26&lt;=550999,0,IF(I26&lt;=1618999,I26-550000,IF(I26&lt;=1619999,1069000,IF(I26&lt;=1621999,1070000,IF(I26&lt;=1623999,1072000,IF(I26&lt;=1627999,1074000,IF(I26&lt;=1799999,ROUNDDOWN(I26/4,-3)*4*0.6+100000,(IF(I26&lt;=3599999,ROUNDDOWN(I26/4,-3)*4*0.7-80000,IF(I26&lt;=6599999,ROUNDDOWN(I26/4,-3)*4*0.8-440000,IF(I26&lt;=8499999,I26*0.9-1100000,I26-1950000)))))))))))</f>
        <v>0</v>
      </c>
      <c r="AF26" s="235">
        <f>AE26*0.3</f>
        <v>0</v>
      </c>
      <c r="AG26" s="240" t="s">
        <v>5</v>
      </c>
      <c r="AH26" s="144">
        <f>IF(X26=1,AF26,AE26)</f>
        <v>0</v>
      </c>
      <c r="AI26" s="8">
        <f>IF(AH26&lt;=0,0,IF(AL26&lt;=0,0,(IF(AH26&lt;=100000,AH26,100000))))</f>
        <v>0</v>
      </c>
      <c r="AJ26" s="231">
        <f>AH26-AH27</f>
        <v>0</v>
      </c>
      <c r="AK26" s="8">
        <f>IF(N26&lt;=600000,0,IF(N26&lt;=1299999,N26-600000,IF(N26&lt;=4099999,N26*0.75-275000,IF(N26&lt;=7699999,N26*0.85-685000,IF(N26&lt;=9999999,N26*0.95-1455000, IF(N26&gt;=10000000,N26-1955000))))))</f>
        <v>0</v>
      </c>
      <c r="AL26" s="197">
        <f>IF(F26&lt;=64,AK26,AK27)</f>
        <v>0</v>
      </c>
      <c r="AM26" s="242">
        <f>S26</f>
        <v>0</v>
      </c>
      <c r="AN26" s="197">
        <f>AJ26+AL26+AM26</f>
        <v>0</v>
      </c>
      <c r="AO26" s="244">
        <f>IF(AN26&lt;=24000000, 430000, IF(AN26&lt;=24500000, 290000, IF(AN26&lt;=25000000, 150000, 0)))</f>
        <v>430000</v>
      </c>
      <c r="AP26" s="233" t="str">
        <f>IF((AN26-AO26)&lt;0,"",(AN26-AO26))</f>
        <v/>
      </c>
      <c r="AQ26" s="246">
        <f>IF(I26&gt;=550001,1,IF(AND(F26&lt;=64,N26&gt;=600001),1,IF(AND(F26&gt;=65,N26&gt;=1250001),1,0)))</f>
        <v>0</v>
      </c>
      <c r="AS26" s="229" t="s">
        <v>5</v>
      </c>
      <c r="AT26" s="231" t="str">
        <f>IF(Y26="",IF(AND(F26&gt;=40,F26&lt;=64),(AP26),""),"")</f>
        <v/>
      </c>
      <c r="AU26" s="237">
        <f>IF(Y26="",IF(F26&lt;40,0,IF(F26&lt;=64,1,IF(F26&gt;65,0,))),0)</f>
        <v>0</v>
      </c>
    </row>
    <row r="27" spans="1:47" ht="16.5" customHeight="1" thickBot="1" x14ac:dyDescent="0.2">
      <c r="A27" s="53"/>
      <c r="B27" s="54"/>
      <c r="C27" s="238" t="s">
        <v>84</v>
      </c>
      <c r="D27" s="238"/>
      <c r="E27" s="238"/>
      <c r="F27" s="224"/>
      <c r="G27" s="224"/>
      <c r="H27" s="225"/>
      <c r="I27" s="226"/>
      <c r="J27" s="226"/>
      <c r="K27" s="226"/>
      <c r="L27" s="226"/>
      <c r="M27" s="227"/>
      <c r="N27" s="228"/>
      <c r="O27" s="228"/>
      <c r="P27" s="228"/>
      <c r="Q27" s="228"/>
      <c r="R27" s="227"/>
      <c r="S27" s="228"/>
      <c r="T27" s="228"/>
      <c r="U27" s="228"/>
      <c r="V27" s="228"/>
      <c r="W27" s="227"/>
      <c r="X27" s="323"/>
      <c r="Y27" s="248"/>
      <c r="Z27" s="250"/>
      <c r="AA27" s="250"/>
      <c r="AB27" s="208"/>
      <c r="AC27" s="208"/>
      <c r="AD27" s="47"/>
      <c r="AE27" s="234"/>
      <c r="AF27" s="236"/>
      <c r="AG27" s="241"/>
      <c r="AH27" s="145">
        <f>IF((AI26+AI27-100000)&lt;=0, 0, (AI26+AI27-100000))</f>
        <v>0</v>
      </c>
      <c r="AI27" s="170">
        <f>IF(AH26&lt;=0,0,IF(AL26&lt;=0,0,(IF(AL26&lt;=100000,AL26,100000))))</f>
        <v>0</v>
      </c>
      <c r="AJ27" s="232"/>
      <c r="AK27" s="198">
        <f>IF(N26&lt;=1100000,0,IF(N26&lt;=3299999,N26-1100000,IF(N26&lt;=4099999,N26*0.75-275000,IF(N26&lt;=7699999,N26*0.85-685000,IF(N26&lt;=9999999,N26*0.95-1455000, IF(N26&gt;=10000000,N26-1955000))))))</f>
        <v>0</v>
      </c>
      <c r="AL27" s="199">
        <f>IF(F26&lt;=64,AK26,IF(AK27-150000&lt;=0,0,AK27-150000))</f>
        <v>0</v>
      </c>
      <c r="AM27" s="243"/>
      <c r="AN27" s="199">
        <f>MAX(AJ26+AL27+AM26+Z26,0)</f>
        <v>0</v>
      </c>
      <c r="AO27" s="245"/>
      <c r="AP27" s="234"/>
      <c r="AQ27" s="246"/>
      <c r="AS27" s="230"/>
      <c r="AT27" s="232"/>
      <c r="AU27" s="237"/>
    </row>
    <row r="28" spans="1:47" ht="16.5" customHeight="1" thickBot="1" x14ac:dyDescent="0.2">
      <c r="A28" s="53"/>
      <c r="B28" s="54"/>
      <c r="C28" s="239" t="s">
        <v>43</v>
      </c>
      <c r="D28" s="239"/>
      <c r="E28" s="239"/>
      <c r="F28" s="224"/>
      <c r="G28" s="224"/>
      <c r="H28" s="225" t="s">
        <v>24</v>
      </c>
      <c r="I28" s="226"/>
      <c r="J28" s="226"/>
      <c r="K28" s="226"/>
      <c r="L28" s="226"/>
      <c r="M28" s="227" t="s">
        <v>0</v>
      </c>
      <c r="N28" s="226"/>
      <c r="O28" s="228"/>
      <c r="P28" s="228"/>
      <c r="Q28" s="228"/>
      <c r="R28" s="227" t="s">
        <v>0</v>
      </c>
      <c r="S28" s="226"/>
      <c r="T28" s="228"/>
      <c r="U28" s="228"/>
      <c r="V28" s="228"/>
      <c r="W28" s="227" t="s">
        <v>0</v>
      </c>
      <c r="X28" s="322"/>
      <c r="Y28" s="247"/>
      <c r="Z28" s="249"/>
      <c r="AA28" s="251" t="s">
        <v>138</v>
      </c>
      <c r="AB28" s="207"/>
      <c r="AC28" s="207"/>
      <c r="AD28" s="47"/>
      <c r="AE28" s="233">
        <f>IF(I28&lt;=550999,0,IF(I28&lt;=1618999,I28-550000,IF(I28&lt;=1619999,1069000,IF(I28&lt;=1621999,1070000,IF(I28&lt;=1623999,1072000,IF(I28&lt;=1627999,1074000,IF(I28&lt;=1799999,ROUNDDOWN(I28/4,-3)*4*0.6+100000,(IF(I28&lt;=3599999,ROUNDDOWN(I28/4,-3)*4*0.7-80000,IF(I28&lt;=6599999,ROUNDDOWN(I28/4,-3)*4*0.8-440000,IF(I28&lt;=8499999,I28*0.9-1100000,I28-1950000)))))))))))</f>
        <v>0</v>
      </c>
      <c r="AF28" s="305">
        <f>AE28*0.3</f>
        <v>0</v>
      </c>
      <c r="AG28" s="240" t="s">
        <v>6</v>
      </c>
      <c r="AH28" s="144">
        <f>IF(X28=1,AF28,AE28)</f>
        <v>0</v>
      </c>
      <c r="AI28" s="8">
        <f>IF(AH28&lt;=0,0,IF(AL28&lt;=0,0,(IF(AH28&lt;=100000,AH28,100000))))</f>
        <v>0</v>
      </c>
      <c r="AJ28" s="231">
        <f>AH28-AH29</f>
        <v>0</v>
      </c>
      <c r="AK28" s="8">
        <f>IF(N28&lt;=600000,0,IF(N28&lt;=1299999,N28-600000,IF(N28&lt;=4099999,N28*0.75-275000,IF(N28&lt;=7699999,N28*0.85-685000,IF(N28&lt;=9999999,N28*0.95-1455000, IF(N28&gt;=10000000,N28-1955000))))))</f>
        <v>0</v>
      </c>
      <c r="AL28" s="197">
        <f>IF(F28&lt;=64,AK28,AK29)</f>
        <v>0</v>
      </c>
      <c r="AM28" s="242">
        <f>S28</f>
        <v>0</v>
      </c>
      <c r="AN28" s="197">
        <f>AJ28+AL28+AM28</f>
        <v>0</v>
      </c>
      <c r="AO28" s="244">
        <f>IF(AN28&lt;=24000000, 430000, IF(AN28&lt;=24500000, 290000, IF(AN28&lt;=25000000, 150000, 0)))</f>
        <v>430000</v>
      </c>
      <c r="AP28" s="233" t="str">
        <f>IF((AN28-AO28)&lt;0,"",(AN28-AO28))</f>
        <v/>
      </c>
      <c r="AQ28" s="246">
        <f>IF(I28&gt;=550001,1,IF(AND(F28&lt;=64,N28&gt;=600001),1,IF(AND(F28&gt;=65,N28&gt;=1250001),1,0)))</f>
        <v>0</v>
      </c>
      <c r="AS28" s="229" t="s">
        <v>6</v>
      </c>
      <c r="AT28" s="231" t="str">
        <f>IF(Y28="",IF(AND(F28&gt;=40,F28&lt;=64),(AP28),""),"")</f>
        <v/>
      </c>
      <c r="AU28" s="237">
        <f>IF(Y28="",IF(F28&lt;40,0,IF(F28&lt;=64,1,IF(F28&gt;65,0,))),0)</f>
        <v>0</v>
      </c>
    </row>
    <row r="29" spans="1:47" ht="16.5" customHeight="1" thickBot="1" x14ac:dyDescent="0.2">
      <c r="A29" s="53"/>
      <c r="B29" s="54"/>
      <c r="C29" s="239"/>
      <c r="D29" s="239"/>
      <c r="E29" s="239"/>
      <c r="F29" s="224"/>
      <c r="G29" s="224"/>
      <c r="H29" s="225"/>
      <c r="I29" s="226"/>
      <c r="J29" s="226"/>
      <c r="K29" s="226"/>
      <c r="L29" s="226"/>
      <c r="M29" s="227"/>
      <c r="N29" s="228"/>
      <c r="O29" s="228"/>
      <c r="P29" s="228"/>
      <c r="Q29" s="228"/>
      <c r="R29" s="227"/>
      <c r="S29" s="228"/>
      <c r="T29" s="228"/>
      <c r="U29" s="228"/>
      <c r="V29" s="228"/>
      <c r="W29" s="227"/>
      <c r="X29" s="323"/>
      <c r="Y29" s="248"/>
      <c r="Z29" s="250"/>
      <c r="AA29" s="250"/>
      <c r="AB29" s="208"/>
      <c r="AC29" s="208"/>
      <c r="AD29" s="47"/>
      <c r="AE29" s="234"/>
      <c r="AF29" s="306"/>
      <c r="AG29" s="241"/>
      <c r="AH29" s="145">
        <f>IF((AI28+AI29-100000)&lt;=0, 0, (AI28+AI29-100000))</f>
        <v>0</v>
      </c>
      <c r="AI29" s="170">
        <f>IF(AH28&lt;=0,0,IF(AL28&lt;=0,0,(IF(AL28&lt;=100000,AL28,100000))))</f>
        <v>0</v>
      </c>
      <c r="AJ29" s="232"/>
      <c r="AK29" s="170">
        <f>IF(N28&lt;=1100000,0,IF(N28&lt;=3299999,N28-1100000,IF(N28&lt;=4099999,N28*0.75-275000,IF(N28&lt;=7699999,N28*0.85-685000,IF(N28&lt;=9999999,N28*0.95-1455000, IF(N28&gt;=10000000,N28-1955000))))))</f>
        <v>0</v>
      </c>
      <c r="AL29" s="199">
        <f>IF(F28&lt;=64,AK28,IF(AK29-150000&lt;=0,0,AK29-150000))</f>
        <v>0</v>
      </c>
      <c r="AM29" s="243"/>
      <c r="AN29" s="199">
        <f>MAX(AJ28+AL29+AM28+Z28,0)</f>
        <v>0</v>
      </c>
      <c r="AO29" s="245"/>
      <c r="AP29" s="234"/>
      <c r="AQ29" s="246"/>
      <c r="AS29" s="230"/>
      <c r="AT29" s="232"/>
      <c r="AU29" s="237"/>
    </row>
    <row r="30" spans="1:47" ht="16.5" customHeight="1" thickBot="1" x14ac:dyDescent="0.2">
      <c r="A30" s="53"/>
      <c r="B30" s="54"/>
      <c r="C30" s="239" t="s">
        <v>44</v>
      </c>
      <c r="D30" s="239"/>
      <c r="E30" s="239"/>
      <c r="F30" s="224"/>
      <c r="G30" s="224"/>
      <c r="H30" s="225" t="s">
        <v>24</v>
      </c>
      <c r="I30" s="226"/>
      <c r="J30" s="226"/>
      <c r="K30" s="226"/>
      <c r="L30" s="226"/>
      <c r="M30" s="227" t="s">
        <v>0</v>
      </c>
      <c r="N30" s="226"/>
      <c r="O30" s="228"/>
      <c r="P30" s="228"/>
      <c r="Q30" s="228"/>
      <c r="R30" s="227" t="s">
        <v>0</v>
      </c>
      <c r="S30" s="226"/>
      <c r="T30" s="228"/>
      <c r="U30" s="228"/>
      <c r="V30" s="228"/>
      <c r="W30" s="227" t="s">
        <v>0</v>
      </c>
      <c r="X30" s="322"/>
      <c r="Y30" s="247"/>
      <c r="Z30" s="249"/>
      <c r="AA30" s="251" t="s">
        <v>138</v>
      </c>
      <c r="AB30" s="207"/>
      <c r="AC30" s="207"/>
      <c r="AD30" s="47"/>
      <c r="AE30" s="233">
        <f>IF(I30&lt;=550999,0,IF(I30&lt;=1618999,I30-550000,IF(I30&lt;=1619999,1069000,IF(I30&lt;=1621999,1070000,IF(I30&lt;=1623999,1072000,IF(I30&lt;=1627999,1074000,IF(I30&lt;=1799999,ROUNDDOWN(I30/4,-3)*4*0.6+100000,(IF(I30&lt;=3599999,ROUNDDOWN(I30/4,-3)*4*0.7-80000,IF(I30&lt;=6599999,ROUNDDOWN(I30/4,-3)*4*0.8-440000,IF(I30&lt;=8499999,I30*0.9-1100000,I30-1950000)))))))))))</f>
        <v>0</v>
      </c>
      <c r="AF30" s="235">
        <f>AE30*0.3</f>
        <v>0</v>
      </c>
      <c r="AG30" s="240" t="s">
        <v>7</v>
      </c>
      <c r="AH30" s="144">
        <f>IF(X30=1,AF30,AE30)</f>
        <v>0</v>
      </c>
      <c r="AI30" s="8">
        <f>IF(AH30&lt;=0,0,IF(AL30&lt;=0,0,(IF(AH30&lt;=100000,AH30,100000))))</f>
        <v>0</v>
      </c>
      <c r="AJ30" s="231">
        <f>AH30-AH31</f>
        <v>0</v>
      </c>
      <c r="AK30" s="8">
        <f>IF(N30&lt;=600000,0,IF(N30&lt;=1299999,N30-600000,IF(N30&lt;=4099999,N30*0.75-275000,IF(N30&lt;=7699999,N30*0.85-685000,IF(N30&lt;=9999999,N30*0.95-1455000, IF(N30&gt;=10000000,N30-1955000))))))</f>
        <v>0</v>
      </c>
      <c r="AL30" s="197">
        <f>IF(F30&lt;=64,AK30,AK31)</f>
        <v>0</v>
      </c>
      <c r="AM30" s="242">
        <f>S30</f>
        <v>0</v>
      </c>
      <c r="AN30" s="197">
        <f>AJ30+AL30+AM30</f>
        <v>0</v>
      </c>
      <c r="AO30" s="244">
        <f>IF(AN30&lt;=24000000, 430000, IF(AN30&lt;=24500000, 290000, IF(AN30&lt;=25000000, 150000, 0)))</f>
        <v>430000</v>
      </c>
      <c r="AP30" s="233" t="str">
        <f>IF((AN30-AO30)&lt;0,"",(AN30-AO30))</f>
        <v/>
      </c>
      <c r="AQ30" s="246">
        <f>IF(I30&gt;=550001,1,IF(AND(F30&lt;=64,N30&gt;=600001),1,IF(AND(F30&gt;=65,N30&gt;=1250001),1,0)))</f>
        <v>0</v>
      </c>
      <c r="AS30" s="229" t="s">
        <v>7</v>
      </c>
      <c r="AT30" s="231" t="str">
        <f>IF(Y30="",IF(AND(F30&gt;=40,F30&lt;=64),(AP30),""),"")</f>
        <v/>
      </c>
      <c r="AU30" s="237">
        <f>IF(Y30="",IF(F30&lt;40,0,IF(F30&lt;=64,1,IF(F30&gt;65,0,))),0)</f>
        <v>0</v>
      </c>
    </row>
    <row r="31" spans="1:47" ht="16.5" customHeight="1" thickBot="1" x14ac:dyDescent="0.2">
      <c r="A31" s="53"/>
      <c r="B31" s="54"/>
      <c r="C31" s="239"/>
      <c r="D31" s="239"/>
      <c r="E31" s="239"/>
      <c r="F31" s="224"/>
      <c r="G31" s="224"/>
      <c r="H31" s="225"/>
      <c r="I31" s="226"/>
      <c r="J31" s="226"/>
      <c r="K31" s="226"/>
      <c r="L31" s="226"/>
      <c r="M31" s="227"/>
      <c r="N31" s="228"/>
      <c r="O31" s="228"/>
      <c r="P31" s="228"/>
      <c r="Q31" s="228"/>
      <c r="R31" s="227"/>
      <c r="S31" s="228"/>
      <c r="T31" s="228"/>
      <c r="U31" s="228"/>
      <c r="V31" s="228"/>
      <c r="W31" s="227"/>
      <c r="X31" s="323"/>
      <c r="Y31" s="248"/>
      <c r="Z31" s="250"/>
      <c r="AA31" s="250"/>
      <c r="AB31" s="208"/>
      <c r="AC31" s="208"/>
      <c r="AD31" s="47"/>
      <c r="AE31" s="234"/>
      <c r="AF31" s="236"/>
      <c r="AG31" s="241"/>
      <c r="AH31" s="145">
        <f>IF((AI30+AI31-100000)&lt;=0, 0, (AI30+AI31-100000))</f>
        <v>0</v>
      </c>
      <c r="AI31" s="170">
        <f>IF(AH30&lt;=0,0,IF(AL30&lt;=0,0,(IF(AL30&lt;=100000,AL30,100000))))</f>
        <v>0</v>
      </c>
      <c r="AJ31" s="232"/>
      <c r="AK31" s="170">
        <f>IF(N30&lt;=1100000,0,IF(N30&lt;=3299999,N30-1100000,IF(N30&lt;=4099999,N30*0.75-275000,IF(N30&lt;=7699999,N30*0.85-685000,IF(N30&lt;=9999999,N30*0.95-1455000, IF(N30&gt;=10000000,N30-1955000))))))</f>
        <v>0</v>
      </c>
      <c r="AL31" s="199">
        <f>IF(F30&lt;=64,AK30,IF(AK31-150000&lt;=0,0,AK31-150000))</f>
        <v>0</v>
      </c>
      <c r="AM31" s="243"/>
      <c r="AN31" s="199">
        <f>MAX(AJ30+AL31+AM30+Z30,0)</f>
        <v>0</v>
      </c>
      <c r="AO31" s="245"/>
      <c r="AP31" s="234"/>
      <c r="AQ31" s="246"/>
      <c r="AS31" s="230"/>
      <c r="AT31" s="232"/>
      <c r="AU31" s="237"/>
    </row>
    <row r="32" spans="1:47" ht="16.5" customHeight="1" thickBot="1" x14ac:dyDescent="0.2">
      <c r="A32" s="53"/>
      <c r="B32" s="54"/>
      <c r="C32" s="239" t="s">
        <v>45</v>
      </c>
      <c r="D32" s="239"/>
      <c r="E32" s="239"/>
      <c r="F32" s="224"/>
      <c r="G32" s="224"/>
      <c r="H32" s="225" t="s">
        <v>24</v>
      </c>
      <c r="I32" s="226"/>
      <c r="J32" s="226"/>
      <c r="K32" s="226"/>
      <c r="L32" s="226"/>
      <c r="M32" s="227" t="s">
        <v>0</v>
      </c>
      <c r="N32" s="226"/>
      <c r="O32" s="228"/>
      <c r="P32" s="228"/>
      <c r="Q32" s="228"/>
      <c r="R32" s="227" t="s">
        <v>0</v>
      </c>
      <c r="S32" s="226"/>
      <c r="T32" s="228"/>
      <c r="U32" s="228"/>
      <c r="V32" s="228"/>
      <c r="W32" s="227" t="s">
        <v>0</v>
      </c>
      <c r="X32" s="322"/>
      <c r="Y32" s="247"/>
      <c r="Z32" s="249"/>
      <c r="AA32" s="251" t="s">
        <v>138</v>
      </c>
      <c r="AB32" s="207"/>
      <c r="AC32" s="207"/>
      <c r="AD32" s="47"/>
      <c r="AE32" s="233">
        <f>IF(I32&lt;=550999,0,IF(I32&lt;=1618999,I32-550000,IF(I32&lt;=1619999,1069000,IF(I32&lt;=1621999,1070000,IF(I32&lt;=1623999,1072000,IF(I32&lt;=1627999,1074000,IF(I32&lt;=1799999,ROUNDDOWN(I32/4,-3)*4*0.6+100000,(IF(I32&lt;=3599999,ROUNDDOWN(I32/4,-3)*4*0.7-80000,IF(I32&lt;=6599999,ROUNDDOWN(I32/4,-3)*4*0.8-440000,IF(I32&lt;=8499999,I32*0.9-1100000,I32-1950000)))))))))))</f>
        <v>0</v>
      </c>
      <c r="AF32" s="235">
        <f>AE32*0.3</f>
        <v>0</v>
      </c>
      <c r="AG32" s="240" t="s">
        <v>8</v>
      </c>
      <c r="AH32" s="144">
        <f t="shared" ref="AH32:AH38" si="0">IF(X32=1,AF32,AE32)</f>
        <v>0</v>
      </c>
      <c r="AI32" s="8">
        <f>IF(AH32&lt;=0,0,IF(AL32&lt;=0,0,(IF(AH32&lt;=100000,AH32,100000))))</f>
        <v>0</v>
      </c>
      <c r="AJ32" s="231">
        <f>AH32-AH33</f>
        <v>0</v>
      </c>
      <c r="AK32" s="8">
        <f>IF(N32&lt;=600000,0,IF(N32&lt;=1299999,N32-600000,IF(N32&lt;=4099999,N32*0.75-275000,IF(N32&lt;=7699999,N32*0.85-685000,IF(N32&lt;=9999999,N32*0.95-1455000, IF(N32&gt;=10000000,N32-1955000))))))</f>
        <v>0</v>
      </c>
      <c r="AL32" s="197">
        <f>IF(F32&lt;=64,AK32,AK33)</f>
        <v>0</v>
      </c>
      <c r="AM32" s="242">
        <f>S32</f>
        <v>0</v>
      </c>
      <c r="AN32" s="197">
        <f>AJ32+AL32+AM32</f>
        <v>0</v>
      </c>
      <c r="AO32" s="244">
        <f>IF(AN32&lt;=24000000, 430000, IF(AN32&lt;=24500000, 290000, IF(AN32&lt;=25000000, 150000, 0)))</f>
        <v>430000</v>
      </c>
      <c r="AP32" s="233" t="str">
        <f>IF((AN32-AO32)&lt;0,"",(AN32-AO32))</f>
        <v/>
      </c>
      <c r="AQ32" s="246">
        <f>IF(I32&gt;=550001,1,IF(AND(F32&lt;=64,N32&gt;=600001),1,IF(AND(F32&gt;=65,N32&gt;=1250001),1,0)))</f>
        <v>0</v>
      </c>
      <c r="AS32" s="229" t="s">
        <v>8</v>
      </c>
      <c r="AT32" s="231" t="str">
        <f>IF(Y32="",IF(AND(F32&gt;=40,F32&lt;=64),(AP32),""),"")</f>
        <v/>
      </c>
      <c r="AU32" s="237">
        <f>IF(Y32="",IF(F32&lt;40,0,IF(F32&lt;=64,1,IF(F32&gt;65,0,))),0)</f>
        <v>0</v>
      </c>
    </row>
    <row r="33" spans="1:47" ht="16.5" customHeight="1" thickBot="1" x14ac:dyDescent="0.2">
      <c r="A33" s="53"/>
      <c r="B33" s="54"/>
      <c r="C33" s="239"/>
      <c r="D33" s="239"/>
      <c r="E33" s="239"/>
      <c r="F33" s="224"/>
      <c r="G33" s="224"/>
      <c r="H33" s="225"/>
      <c r="I33" s="226"/>
      <c r="J33" s="226"/>
      <c r="K33" s="226"/>
      <c r="L33" s="226"/>
      <c r="M33" s="227"/>
      <c r="N33" s="228"/>
      <c r="O33" s="228"/>
      <c r="P33" s="228"/>
      <c r="Q33" s="228"/>
      <c r="R33" s="227"/>
      <c r="S33" s="228"/>
      <c r="T33" s="228"/>
      <c r="U33" s="228"/>
      <c r="V33" s="228"/>
      <c r="W33" s="227"/>
      <c r="X33" s="323"/>
      <c r="Y33" s="248"/>
      <c r="Z33" s="250"/>
      <c r="AA33" s="250"/>
      <c r="AB33" s="208"/>
      <c r="AC33" s="208"/>
      <c r="AD33" s="47"/>
      <c r="AE33" s="234"/>
      <c r="AF33" s="236"/>
      <c r="AG33" s="241"/>
      <c r="AH33" s="145">
        <f>IF((AI32+AI33-100000)&lt;=0, 0, (AI32+AI33-100000))</f>
        <v>0</v>
      </c>
      <c r="AI33" s="170">
        <f>IF(AH32&lt;=0,0,IF(AL32&lt;=0,0,(IF(AL32&lt;=100000,AL32,100000))))</f>
        <v>0</v>
      </c>
      <c r="AJ33" s="232"/>
      <c r="AK33" s="170">
        <f>IF(N32&lt;=1100000,0,IF(N32&lt;=3299999,N32-1100000,IF(N32&lt;=4099999,N32*0.75-275000,IF(N32&lt;=7699999,N32*0.85-685000,IF(N32&lt;=9999999,N32*0.95-1455000, IF(N32&gt;=10000000,N32-1955000))))))</f>
        <v>0</v>
      </c>
      <c r="AL33" s="199">
        <f>IF(F32&lt;=64,AK32,IF(AK33-150000&lt;=0,0,AK33-150000))</f>
        <v>0</v>
      </c>
      <c r="AM33" s="243"/>
      <c r="AN33" s="199">
        <f>MAX(AJ32+AL33+AM32+Z32,0)</f>
        <v>0</v>
      </c>
      <c r="AO33" s="245"/>
      <c r="AP33" s="234"/>
      <c r="AQ33" s="246"/>
      <c r="AS33" s="230"/>
      <c r="AT33" s="232"/>
      <c r="AU33" s="237"/>
    </row>
    <row r="34" spans="1:47" ht="16.5" customHeight="1" thickBot="1" x14ac:dyDescent="0.2">
      <c r="A34" s="53"/>
      <c r="B34" s="54"/>
      <c r="C34" s="239" t="s">
        <v>46</v>
      </c>
      <c r="D34" s="239"/>
      <c r="E34" s="239"/>
      <c r="F34" s="224"/>
      <c r="G34" s="224"/>
      <c r="H34" s="225" t="s">
        <v>24</v>
      </c>
      <c r="I34" s="226"/>
      <c r="J34" s="226"/>
      <c r="K34" s="226"/>
      <c r="L34" s="226"/>
      <c r="M34" s="227" t="s">
        <v>0</v>
      </c>
      <c r="N34" s="226"/>
      <c r="O34" s="228"/>
      <c r="P34" s="228"/>
      <c r="Q34" s="228"/>
      <c r="R34" s="227" t="s">
        <v>0</v>
      </c>
      <c r="S34" s="226"/>
      <c r="T34" s="228"/>
      <c r="U34" s="228"/>
      <c r="V34" s="228"/>
      <c r="W34" s="227" t="s">
        <v>0</v>
      </c>
      <c r="X34" s="322"/>
      <c r="Y34" s="247"/>
      <c r="Z34" s="249"/>
      <c r="AA34" s="251" t="s">
        <v>138</v>
      </c>
      <c r="AB34" s="207"/>
      <c r="AC34" s="207"/>
      <c r="AD34" s="47"/>
      <c r="AE34" s="233">
        <f>IF(I34&lt;=550999,0,IF(I34&lt;=1618999,I34-550000,IF(I34&lt;=1619999,1069000,IF(I34&lt;=1621999,1070000,IF(I34&lt;=1623999,1072000,IF(I34&lt;=1627999,1074000,IF(I34&lt;=1799999,ROUNDDOWN(I34/4,-3)*4*0.6+100000,(IF(I34&lt;=3599999,ROUNDDOWN(I34/4,-3)*4*0.7-80000,IF(I34&lt;=6599999,ROUNDDOWN(I34/4,-3)*4*0.8-440000,IF(I34&lt;=8499999,I34*0.9-1100000,I34-1950000)))))))))))</f>
        <v>0</v>
      </c>
      <c r="AF34" s="235">
        <f>AE34*0.3</f>
        <v>0</v>
      </c>
      <c r="AG34" s="240" t="s">
        <v>9</v>
      </c>
      <c r="AH34" s="144">
        <f>IF(X34=1,AF34,AE34)</f>
        <v>0</v>
      </c>
      <c r="AI34" s="8">
        <f>IF(AH34&lt;=0,0,IF(AL34&lt;=0,0,(IF(AH34&lt;=100000,AH34,100000))))</f>
        <v>0</v>
      </c>
      <c r="AJ34" s="231">
        <f>AH34-AH35</f>
        <v>0</v>
      </c>
      <c r="AK34" s="8">
        <f>IF(N34&lt;=600000,0,IF(N34&lt;=1299999,N34-600000,IF(N34&lt;=4099999,N34*0.75-275000,IF(N34&lt;=7699999,N34*0.85-685000,IF(N34&lt;=9999999,N34*0.95-1455000, IF(N34&gt;=10000000,N34-1955000))))))</f>
        <v>0</v>
      </c>
      <c r="AL34" s="197">
        <f>IF(F34&lt;=64,AK34,AK35)</f>
        <v>0</v>
      </c>
      <c r="AM34" s="242">
        <f>S34</f>
        <v>0</v>
      </c>
      <c r="AN34" s="197">
        <f>AJ34+AL34+AM34</f>
        <v>0</v>
      </c>
      <c r="AO34" s="244">
        <f>IF(AN34&lt;=24000000, 430000, IF(AN34&lt;=24500000, 290000, IF(AN34&lt;=25000000, 150000, 0)))</f>
        <v>430000</v>
      </c>
      <c r="AP34" s="233" t="str">
        <f>IF((AN34-AO34)&lt;0,"",(AN34-AO34))</f>
        <v/>
      </c>
      <c r="AQ34" s="246">
        <f>IF(I34&gt;=550001,1,IF(AND(F34&lt;=64,N34&gt;=600001),1,IF(AND(F34&gt;=65,N34&gt;=1250001),1,0)))</f>
        <v>0</v>
      </c>
      <c r="AS34" s="229" t="s">
        <v>9</v>
      </c>
      <c r="AT34" s="231" t="str">
        <f>IF(Y34="",IF(AND(F34&gt;=40,F34&lt;=64),(AP34),""),"")</f>
        <v/>
      </c>
      <c r="AU34" s="237">
        <f>IF(Y34="",IF(F34&lt;40,0,IF(F34&lt;=64,1,IF(F34&gt;65,0,))),0)</f>
        <v>0</v>
      </c>
    </row>
    <row r="35" spans="1:47" ht="16.5" customHeight="1" thickBot="1" x14ac:dyDescent="0.2">
      <c r="A35" s="53"/>
      <c r="B35" s="54"/>
      <c r="C35" s="239"/>
      <c r="D35" s="239"/>
      <c r="E35" s="239"/>
      <c r="F35" s="224"/>
      <c r="G35" s="224"/>
      <c r="H35" s="225"/>
      <c r="I35" s="226"/>
      <c r="J35" s="226"/>
      <c r="K35" s="226"/>
      <c r="L35" s="226"/>
      <c r="M35" s="227"/>
      <c r="N35" s="228"/>
      <c r="O35" s="228"/>
      <c r="P35" s="228"/>
      <c r="Q35" s="228"/>
      <c r="R35" s="227"/>
      <c r="S35" s="228"/>
      <c r="T35" s="228"/>
      <c r="U35" s="228"/>
      <c r="V35" s="228"/>
      <c r="W35" s="227"/>
      <c r="X35" s="323"/>
      <c r="Y35" s="248"/>
      <c r="Z35" s="250"/>
      <c r="AA35" s="250"/>
      <c r="AB35" s="208"/>
      <c r="AC35" s="208"/>
      <c r="AD35" s="47"/>
      <c r="AE35" s="234"/>
      <c r="AF35" s="236"/>
      <c r="AG35" s="241"/>
      <c r="AH35" s="145">
        <f>IF((AI34+AI35-100000)&lt;=0, 0, (AI34+AI35-100000))</f>
        <v>0</v>
      </c>
      <c r="AI35" s="170">
        <f>IF(AH34&lt;=0,0,IF(AL34&lt;=0,0,(IF(AL34&lt;=100000,AL34,100000))))</f>
        <v>0</v>
      </c>
      <c r="AJ35" s="232"/>
      <c r="AK35" s="170">
        <f>IF(N34&lt;=1100000,0,IF(N34&lt;=3299999,N34-1100000,IF(N34&lt;=4099999,N34*0.75-275000,IF(N34&lt;=7699999,N34*0.85-685000,IF(N34&lt;=9999999,N34*0.95-1455000, IF(N34&gt;=10000000,N34-1955000))))))</f>
        <v>0</v>
      </c>
      <c r="AL35" s="199">
        <f>IF(F34&lt;=64,AK34,IF(AK35-150000&lt;=0,0,AK35-150000))</f>
        <v>0</v>
      </c>
      <c r="AM35" s="243"/>
      <c r="AN35" s="199">
        <f>MAX(AJ34+AL35+AM34+Z34,0)</f>
        <v>0</v>
      </c>
      <c r="AO35" s="245"/>
      <c r="AP35" s="234"/>
      <c r="AQ35" s="246"/>
      <c r="AS35" s="230"/>
      <c r="AT35" s="232"/>
      <c r="AU35" s="237"/>
    </row>
    <row r="36" spans="1:47" ht="16.5" customHeight="1" thickBot="1" x14ac:dyDescent="0.2">
      <c r="A36" s="53"/>
      <c r="B36" s="54"/>
      <c r="C36" s="239" t="s">
        <v>47</v>
      </c>
      <c r="D36" s="239"/>
      <c r="E36" s="239"/>
      <c r="F36" s="224"/>
      <c r="G36" s="224"/>
      <c r="H36" s="225" t="s">
        <v>24</v>
      </c>
      <c r="I36" s="226"/>
      <c r="J36" s="226"/>
      <c r="K36" s="226"/>
      <c r="L36" s="226"/>
      <c r="M36" s="227" t="s">
        <v>0</v>
      </c>
      <c r="N36" s="226"/>
      <c r="O36" s="228"/>
      <c r="P36" s="228"/>
      <c r="Q36" s="228"/>
      <c r="R36" s="227" t="s">
        <v>0</v>
      </c>
      <c r="S36" s="226"/>
      <c r="T36" s="228"/>
      <c r="U36" s="228"/>
      <c r="V36" s="228"/>
      <c r="W36" s="227" t="s">
        <v>0</v>
      </c>
      <c r="X36" s="322"/>
      <c r="Y36" s="247"/>
      <c r="Z36" s="249"/>
      <c r="AA36" s="251" t="s">
        <v>138</v>
      </c>
      <c r="AB36" s="207"/>
      <c r="AC36" s="207"/>
      <c r="AD36" s="47"/>
      <c r="AE36" s="233">
        <f>IF(I36&lt;=550999,0,IF(I36&lt;=1618999,I36-550000,IF(I36&lt;=1619999,1069000,IF(I36&lt;=1621999,1070000,IF(I36&lt;=1623999,1072000,IF(I36&lt;=1627999,1074000,IF(I36&lt;=1799999,ROUNDDOWN(I36/4,-3)*4*0.6+100000,(IF(I36&lt;=3599999,ROUNDDOWN(I36/4,-3)*4*0.7-80000,IF(I36&lt;=6599999,ROUNDDOWN(I36/4,-3)*4*0.8-440000,IF(I36&lt;=8499999,I36*0.9-1100000,I36-1950000)))))))))))</f>
        <v>0</v>
      </c>
      <c r="AF36" s="235">
        <f>AE36*0.3</f>
        <v>0</v>
      </c>
      <c r="AG36" s="240" t="s">
        <v>10</v>
      </c>
      <c r="AH36" s="144">
        <f t="shared" si="0"/>
        <v>0</v>
      </c>
      <c r="AI36" s="8">
        <f>IF(AH36&lt;=0,0,IF(AL36&lt;=0,0,(IF(AH36&lt;=100000,AH36,100000))))</f>
        <v>0</v>
      </c>
      <c r="AJ36" s="231">
        <f>AH36-AH37</f>
        <v>0</v>
      </c>
      <c r="AK36" s="8">
        <f>IF(N36&lt;=600000,0,IF(N36&lt;=1299999,N36-600000,IF(N36&lt;=4099999,N36*0.75-275000,IF(N36&lt;=7699999,N36*0.85-685000,IF(N36&lt;=9999999,N36*0.95-1455000, IF(N36&gt;=10000000,N36-1955000))))))</f>
        <v>0</v>
      </c>
      <c r="AL36" s="197">
        <f>IF(F36&lt;=64,AK36,AK37)</f>
        <v>0</v>
      </c>
      <c r="AM36" s="242">
        <f>S36</f>
        <v>0</v>
      </c>
      <c r="AN36" s="197">
        <f>AJ36+AL36+AM36</f>
        <v>0</v>
      </c>
      <c r="AO36" s="244">
        <f>IF(AN36&lt;=24000000, 430000, IF(AN36&lt;=24500000, 290000, IF(AN36&lt;=25000000, 150000, 0)))</f>
        <v>430000</v>
      </c>
      <c r="AP36" s="233" t="str">
        <f>IF((AN36-AO36)&lt;0,"",(AN36-AO36))</f>
        <v/>
      </c>
      <c r="AQ36" s="246">
        <f>IF(I36&gt;=550001,1,IF(AND(F36&lt;=64,N36&gt;=600001),1,IF(AND(F36&gt;=65,N36&gt;=1250001),1,0)))</f>
        <v>0</v>
      </c>
      <c r="AS36" s="252" t="s">
        <v>10</v>
      </c>
      <c r="AT36" s="231" t="str">
        <f>IF(Y36="",IF(AND(F36&gt;=40,F36&lt;=64),(AP36),""),"")</f>
        <v/>
      </c>
      <c r="AU36" s="237">
        <f>IF(Y36="",IF(F36&lt;40,0,IF(F36&lt;=64,1,IF(F36&gt;65,0,))),0)</f>
        <v>0</v>
      </c>
    </row>
    <row r="37" spans="1:47" ht="16.5" customHeight="1" thickBot="1" x14ac:dyDescent="0.2">
      <c r="A37" s="53"/>
      <c r="B37" s="54"/>
      <c r="C37" s="239"/>
      <c r="D37" s="239"/>
      <c r="E37" s="239"/>
      <c r="F37" s="224"/>
      <c r="G37" s="224"/>
      <c r="H37" s="225"/>
      <c r="I37" s="226"/>
      <c r="J37" s="226"/>
      <c r="K37" s="226"/>
      <c r="L37" s="226"/>
      <c r="M37" s="227"/>
      <c r="N37" s="228"/>
      <c r="O37" s="228"/>
      <c r="P37" s="228"/>
      <c r="Q37" s="228"/>
      <c r="R37" s="227"/>
      <c r="S37" s="228"/>
      <c r="T37" s="228"/>
      <c r="U37" s="228"/>
      <c r="V37" s="228"/>
      <c r="W37" s="227"/>
      <c r="X37" s="323"/>
      <c r="Y37" s="248"/>
      <c r="Z37" s="250"/>
      <c r="AA37" s="250"/>
      <c r="AB37" s="208"/>
      <c r="AC37" s="208"/>
      <c r="AD37" s="47"/>
      <c r="AE37" s="234"/>
      <c r="AF37" s="236"/>
      <c r="AG37" s="241"/>
      <c r="AH37" s="145">
        <f>IF((AI36+AI37-100000)&lt;=0, 0, (AI36+AI37-100000))</f>
        <v>0</v>
      </c>
      <c r="AI37" s="170">
        <f>IF(AH36&lt;=0,0,IF(AL36&lt;=0,0,(IF(AL36&lt;=100000,AL36,100000))))</f>
        <v>0</v>
      </c>
      <c r="AJ37" s="232"/>
      <c r="AK37" s="170">
        <f>IF(N36&lt;=1100000,0,IF(N36&lt;=3299999,N36-1100000,IF(N36&lt;=4099999,N36*0.75-275000,IF(N36&lt;=7699999,N36*0.85-685000,IF(N36&lt;=9999999,N36*0.95-1455000, IF(N36&gt;=10000000,N36-1955000))))))</f>
        <v>0</v>
      </c>
      <c r="AL37" s="199">
        <f>IF(F36&lt;=64,AK36,IF(AK37-150000&lt;=0,0,AK37-150000))</f>
        <v>0</v>
      </c>
      <c r="AM37" s="243"/>
      <c r="AN37" s="199">
        <f>MAX(AJ36+AL37+AM36+Z36,0)</f>
        <v>0</v>
      </c>
      <c r="AO37" s="245"/>
      <c r="AP37" s="234"/>
      <c r="AQ37" s="246"/>
      <c r="AS37" s="252"/>
      <c r="AT37" s="232"/>
      <c r="AU37" s="237"/>
    </row>
    <row r="38" spans="1:47" ht="16.5" customHeight="1" thickBot="1" x14ac:dyDescent="0.2">
      <c r="A38" s="53"/>
      <c r="B38" s="54"/>
      <c r="C38" s="239" t="s">
        <v>48</v>
      </c>
      <c r="D38" s="239"/>
      <c r="E38" s="239"/>
      <c r="F38" s="224"/>
      <c r="G38" s="224"/>
      <c r="H38" s="225" t="s">
        <v>24</v>
      </c>
      <c r="I38" s="226"/>
      <c r="J38" s="226"/>
      <c r="K38" s="226"/>
      <c r="L38" s="226"/>
      <c r="M38" s="227" t="s">
        <v>0</v>
      </c>
      <c r="N38" s="226"/>
      <c r="O38" s="228"/>
      <c r="P38" s="228"/>
      <c r="Q38" s="228"/>
      <c r="R38" s="227" t="s">
        <v>0</v>
      </c>
      <c r="S38" s="226"/>
      <c r="T38" s="228"/>
      <c r="U38" s="228"/>
      <c r="V38" s="228"/>
      <c r="W38" s="227" t="s">
        <v>0</v>
      </c>
      <c r="X38" s="322"/>
      <c r="Y38" s="247"/>
      <c r="Z38" s="249"/>
      <c r="AA38" s="251" t="s">
        <v>138</v>
      </c>
      <c r="AB38" s="207"/>
      <c r="AC38" s="207"/>
      <c r="AD38" s="47"/>
      <c r="AE38" s="233">
        <f>IF(I38&lt;=550999,0,IF(I38&lt;=1618999,I38-550000,IF(I38&lt;=1619999,1069000,IF(I38&lt;=1621999,1070000,IF(I38&lt;=1623999,1072000,IF(I38&lt;=1627999,1074000,IF(I38&lt;=1799999,ROUNDDOWN(I38/4,-3)*4*0.6+100000,(IF(I38&lt;=3599999,ROUNDDOWN(I38/4,-3)*4*0.7-80000,IF(I38&lt;=6599999,ROUNDDOWN(I38/4,-3)*4*0.8-440000,IF(I38&lt;=8499999,I38*0.9-1100000,I38-1950000)))))))))))</f>
        <v>0</v>
      </c>
      <c r="AF38" s="235">
        <f>AE38*0.3</f>
        <v>0</v>
      </c>
      <c r="AG38" s="240" t="s">
        <v>25</v>
      </c>
      <c r="AH38" s="144">
        <f t="shared" si="0"/>
        <v>0</v>
      </c>
      <c r="AI38" s="8">
        <f>IF(AH38&lt;=0,0,IF(AL38&lt;=0,0,(IF(AH38&lt;=100000,AH38,100000))))</f>
        <v>0</v>
      </c>
      <c r="AJ38" s="231">
        <f>AH38-AH39</f>
        <v>0</v>
      </c>
      <c r="AK38" s="8">
        <f>IF(N38&lt;=600000,0,IF(N38&lt;=1299999,N38-600000,IF(N38&lt;=4099999,N38*0.75-275000,IF(N38&lt;=7699999,N38*0.85-685000,IF(N38&lt;=9999999,N38*0.95-1455000, IF(N38&gt;=10000000,N38-1955000))))))</f>
        <v>0</v>
      </c>
      <c r="AL38" s="197">
        <f>IF(F38&lt;=64,AK38,AK39)</f>
        <v>0</v>
      </c>
      <c r="AM38" s="242">
        <f>S38</f>
        <v>0</v>
      </c>
      <c r="AN38" s="197">
        <f>AJ38+AL38+AM38</f>
        <v>0</v>
      </c>
      <c r="AO38" s="244">
        <f>IF(AN38&lt;=24000000, 430000, IF(AN38&lt;=24500000, 290000, IF(AN38&lt;=25000000, 150000, 0)))</f>
        <v>430000</v>
      </c>
      <c r="AP38" s="233" t="str">
        <f>IF((AN38-AO38)&lt;0,"",(AN38-AO38))</f>
        <v/>
      </c>
      <c r="AQ38" s="246">
        <f>IF(I38&gt;=550001,1,IF(AND(F38&lt;=64,N38&gt;=600001),1,IF(AND(F38&gt;=65,N38&gt;=1250001),1,0)))</f>
        <v>0</v>
      </c>
      <c r="AS38" s="252" t="s">
        <v>25</v>
      </c>
      <c r="AT38" s="231" t="str">
        <f>IF(Y38="",IF(AND(F38&gt;=40,F38&lt;=64),(AP38),""),"")</f>
        <v/>
      </c>
      <c r="AU38" s="237">
        <f>IF(Y38="",IF(F38&lt;40,0,IF(F38&lt;=64,1,IF(F38&gt;65,0,))),0)</f>
        <v>0</v>
      </c>
    </row>
    <row r="39" spans="1:47" ht="16.5" customHeight="1" thickBot="1" x14ac:dyDescent="0.2">
      <c r="A39" s="53"/>
      <c r="B39" s="54"/>
      <c r="C39" s="239"/>
      <c r="D39" s="239"/>
      <c r="E39" s="239"/>
      <c r="F39" s="224"/>
      <c r="G39" s="224"/>
      <c r="H39" s="225"/>
      <c r="I39" s="226"/>
      <c r="J39" s="226"/>
      <c r="K39" s="226"/>
      <c r="L39" s="226"/>
      <c r="M39" s="227"/>
      <c r="N39" s="228"/>
      <c r="O39" s="228"/>
      <c r="P39" s="228"/>
      <c r="Q39" s="228"/>
      <c r="R39" s="227"/>
      <c r="S39" s="228"/>
      <c r="T39" s="228"/>
      <c r="U39" s="228"/>
      <c r="V39" s="228"/>
      <c r="W39" s="227"/>
      <c r="X39" s="323"/>
      <c r="Y39" s="248"/>
      <c r="Z39" s="250"/>
      <c r="AA39" s="250"/>
      <c r="AB39" s="208"/>
      <c r="AC39" s="208"/>
      <c r="AD39" s="47"/>
      <c r="AE39" s="234"/>
      <c r="AF39" s="236"/>
      <c r="AG39" s="241"/>
      <c r="AH39" s="145">
        <f>IF((AI38+AI39-100000)&lt;=0, 0, (AI38+AI39-100000))</f>
        <v>0</v>
      </c>
      <c r="AI39" s="170">
        <f>IF(AH38&lt;=0,0,IF(AL38&lt;=0,0,(IF(AL38&lt;=100000,AL38,100000))))</f>
        <v>0</v>
      </c>
      <c r="AJ39" s="232"/>
      <c r="AK39" s="170">
        <f>IF(N38&lt;=1100000,0,IF(N38&lt;=3299999,N38-1100000,IF(N38&lt;=4099999,N38*0.75-275000,IF(N38&lt;=7699999,N38*0.85-685000,IF(N38&lt;=9999999,N38*0.95-1455000, IF(N38&gt;=10000000,N38-1955000))))))</f>
        <v>0</v>
      </c>
      <c r="AL39" s="199">
        <f>IF(F38&lt;=64,AK38,IF(AK39-150000&lt;=0,0,AK39-150000))</f>
        <v>0</v>
      </c>
      <c r="AM39" s="243"/>
      <c r="AN39" s="199">
        <f>MAX(AJ38+AL39+AM38+Z38,0)</f>
        <v>0</v>
      </c>
      <c r="AO39" s="245"/>
      <c r="AP39" s="234"/>
      <c r="AQ39" s="246"/>
      <c r="AS39" s="252"/>
      <c r="AT39" s="232"/>
      <c r="AU39" s="237"/>
    </row>
    <row r="40" spans="1:47" ht="16.5" customHeight="1" thickBot="1" x14ac:dyDescent="0.2">
      <c r="A40" s="53"/>
      <c r="B40" s="54"/>
      <c r="C40" s="253" t="s">
        <v>97</v>
      </c>
      <c r="D40" s="254"/>
      <c r="E40" s="254"/>
      <c r="F40" s="255"/>
      <c r="G40" s="255"/>
      <c r="H40" s="225" t="s">
        <v>24</v>
      </c>
      <c r="I40" s="256"/>
      <c r="J40" s="256"/>
      <c r="K40" s="256"/>
      <c r="L40" s="256"/>
      <c r="M40" s="227" t="s">
        <v>0</v>
      </c>
      <c r="N40" s="256"/>
      <c r="O40" s="257"/>
      <c r="P40" s="257"/>
      <c r="Q40" s="257"/>
      <c r="R40" s="227" t="s">
        <v>0</v>
      </c>
      <c r="S40" s="256"/>
      <c r="T40" s="257"/>
      <c r="U40" s="257"/>
      <c r="V40" s="257"/>
      <c r="W40" s="227" t="s">
        <v>0</v>
      </c>
      <c r="X40" s="322">
        <f>SUM(X26:X39)</f>
        <v>0</v>
      </c>
      <c r="Y40" s="264"/>
      <c r="Z40" s="264"/>
      <c r="AA40" s="264"/>
      <c r="AB40" s="204"/>
      <c r="AC40" s="204"/>
      <c r="AD40" s="47"/>
      <c r="AE40" s="265"/>
      <c r="AF40" s="141"/>
      <c r="AG40" s="240" t="s">
        <v>19</v>
      </c>
      <c r="AH40" s="260"/>
      <c r="AI40" s="166"/>
      <c r="AJ40" s="233">
        <f>SUM(AJ26:AJ39)</f>
        <v>0</v>
      </c>
      <c r="AK40" s="260"/>
      <c r="AL40" s="197">
        <f>AL26+AL28+AL30+AL32+AL34+AL36+AL38</f>
        <v>0</v>
      </c>
      <c r="AM40" s="242">
        <f>SUM(AM26:AM39)</f>
        <v>0</v>
      </c>
      <c r="AN40" s="197">
        <f>AN26+AN28+AN30+AN32+AN34+AN36+AN38</f>
        <v>0</v>
      </c>
      <c r="AO40" s="258"/>
      <c r="AP40" s="233">
        <f>SUM(AP26:AP39)</f>
        <v>0</v>
      </c>
      <c r="AQ40" s="260"/>
      <c r="AS40" s="177" t="s">
        <v>19</v>
      </c>
      <c r="AT40" s="165">
        <f>SUM(AT26:AT39)</f>
        <v>0</v>
      </c>
      <c r="AU40" s="178">
        <f>SUM(AU26:AU39)</f>
        <v>0</v>
      </c>
    </row>
    <row r="41" spans="1:47" ht="16.5" customHeight="1" thickBot="1" x14ac:dyDescent="0.2">
      <c r="A41" s="53"/>
      <c r="B41" s="54"/>
      <c r="C41" s="262" t="s">
        <v>57</v>
      </c>
      <c r="D41" s="263"/>
      <c r="E41" s="263"/>
      <c r="F41" s="255"/>
      <c r="G41" s="255"/>
      <c r="H41" s="225"/>
      <c r="I41" s="256"/>
      <c r="J41" s="256"/>
      <c r="K41" s="256"/>
      <c r="L41" s="256"/>
      <c r="M41" s="227"/>
      <c r="N41" s="257"/>
      <c r="O41" s="257"/>
      <c r="P41" s="257"/>
      <c r="Q41" s="257"/>
      <c r="R41" s="227"/>
      <c r="S41" s="257"/>
      <c r="T41" s="257"/>
      <c r="U41" s="257"/>
      <c r="V41" s="257"/>
      <c r="W41" s="227"/>
      <c r="X41" s="324"/>
      <c r="Y41" s="267"/>
      <c r="Z41" s="268"/>
      <c r="AA41" s="264"/>
      <c r="AB41" s="204"/>
      <c r="AC41" s="204"/>
      <c r="AD41" s="47"/>
      <c r="AE41" s="266"/>
      <c r="AF41" s="137"/>
      <c r="AG41" s="241"/>
      <c r="AH41" s="261"/>
      <c r="AI41" s="167"/>
      <c r="AJ41" s="234"/>
      <c r="AK41" s="261"/>
      <c r="AL41" s="198">
        <f>AL27+AL29+AL31+AL33+AL35+AL37+AL39</f>
        <v>0</v>
      </c>
      <c r="AM41" s="243"/>
      <c r="AN41" s="198">
        <f>AN27+AN29+AN31+AN33+AN35+AN37+AN39</f>
        <v>0</v>
      </c>
      <c r="AO41" s="259"/>
      <c r="AP41" s="234"/>
      <c r="AQ41" s="261"/>
    </row>
    <row r="42" spans="1:47" ht="18" customHeight="1" thickBot="1" x14ac:dyDescent="0.2">
      <c r="A42" s="53"/>
      <c r="B42" s="54"/>
      <c r="C42" s="76"/>
      <c r="D42" s="76"/>
      <c r="E42" s="76"/>
      <c r="F42" s="76"/>
      <c r="G42" s="76"/>
      <c r="H42" s="76"/>
      <c r="I42" s="278" t="s">
        <v>30</v>
      </c>
      <c r="J42" s="278"/>
      <c r="K42" s="278"/>
      <c r="L42" s="278"/>
      <c r="M42" s="278"/>
      <c r="N42" s="278"/>
      <c r="O42" s="278"/>
      <c r="P42" s="279">
        <f>COUNT(F26:G39)</f>
        <v>0</v>
      </c>
      <c r="Q42" s="279"/>
      <c r="R42" s="172" t="s">
        <v>11</v>
      </c>
      <c r="S42" s="76"/>
      <c r="T42" s="76"/>
      <c r="U42" s="76"/>
      <c r="V42" s="76"/>
      <c r="W42" s="76"/>
      <c r="X42" s="77"/>
      <c r="Y42" s="15"/>
      <c r="Z42" s="13"/>
      <c r="AA42" s="13"/>
      <c r="AB42" s="13"/>
      <c r="AC42" s="13"/>
      <c r="AD42" s="13"/>
      <c r="AE42" s="233">
        <f>IF(I40&lt;=550999,0,IF(I40&lt;=1618999,I40-550000,IF(I40&lt;=1619999,1069000,IF(I40&lt;=1621999,1070000,IF(I40&lt;=1623999,1072000,IF(I40&lt;=1627999,1074000,IF(I40&lt;=1799999,ROUNDDOWN(I40/4,-3)*4*0.6+100000,(IF(I40&lt;=3599999,ROUNDDOWN(I40/4,-3)*4*0.7-80000,IF(I40&lt;=6599999,ROUNDDOWN(I40/4,-3)*4*0.8-440000,IF(I40&lt;=8499999,I40*0.9-1100000,I40-1950000)))))))))))</f>
        <v>0</v>
      </c>
      <c r="AF42" s="307"/>
      <c r="AG42" s="240" t="s">
        <v>50</v>
      </c>
      <c r="AH42" s="8">
        <f>AE42</f>
        <v>0</v>
      </c>
      <c r="AI42" s="8">
        <f>IF(AH42&lt;=0,0,IF(AL42&lt;=0,0,(IF(AH42&lt;=100000,AH42,100000))))</f>
        <v>0</v>
      </c>
      <c r="AJ42" s="231">
        <f>AH42-AH43</f>
        <v>0</v>
      </c>
      <c r="AK42" s="8">
        <f>IF(N40&lt;=600000,0,IF(N40&lt;=1299999,N40-600000,IF(N40&lt;=4099999,N40*0.75-275000,IF(N40&lt;=7699999,N40*0.85-685000,IF(N40&lt;=9999999,N40*0.95-1455000, IF(N40&gt;=10000000,N40-1955000))))))</f>
        <v>0</v>
      </c>
      <c r="AL42" s="197">
        <f>IF(F40&lt;=64,AK42,AK43)</f>
        <v>0</v>
      </c>
      <c r="AM42" s="242">
        <f>S40</f>
        <v>0</v>
      </c>
      <c r="AN42" s="197">
        <f>AJ42+AL42+AM42</f>
        <v>0</v>
      </c>
      <c r="AQ42" s="246">
        <f>IF(I40&gt;=550001,1,IF(AND(F40&lt;=64,N40&gt;=600001),1,IF(AND(F40&gt;=65,N40&gt;=1250001),1,0)))</f>
        <v>0</v>
      </c>
    </row>
    <row r="43" spans="1:47" ht="18" customHeight="1" thickBot="1" x14ac:dyDescent="0.2">
      <c r="A43" s="53"/>
      <c r="B43" s="54"/>
      <c r="C43" s="76"/>
      <c r="D43" s="76"/>
      <c r="E43" s="76"/>
      <c r="F43" s="76"/>
      <c r="G43" s="76"/>
      <c r="H43" s="76"/>
      <c r="I43" s="273" t="s">
        <v>124</v>
      </c>
      <c r="J43" s="273"/>
      <c r="K43" s="273"/>
      <c r="L43" s="273"/>
      <c r="M43" s="273"/>
      <c r="N43" s="273"/>
      <c r="O43" s="273"/>
      <c r="P43" s="274">
        <f>AU40</f>
        <v>0</v>
      </c>
      <c r="Q43" s="275"/>
      <c r="R43" s="175" t="s">
        <v>11</v>
      </c>
      <c r="S43" s="57" t="s">
        <v>31</v>
      </c>
      <c r="T43" s="76"/>
      <c r="U43" s="76"/>
      <c r="V43" s="76"/>
      <c r="W43" s="76"/>
      <c r="X43" s="77"/>
      <c r="Y43" s="13"/>
      <c r="Z43" s="13"/>
      <c r="AA43" s="13"/>
      <c r="AB43" s="13"/>
      <c r="AC43" s="13"/>
      <c r="AD43" s="13"/>
      <c r="AE43" s="234"/>
      <c r="AF43" s="308"/>
      <c r="AG43" s="241"/>
      <c r="AH43" s="170">
        <f>IF((AI42+AI43-100000)&lt;=0, 0, (AI42+AI43-100000))</f>
        <v>0</v>
      </c>
      <c r="AI43" s="170">
        <f>IF(AH42&lt;=0,0,IF(AL42&lt;=0,0,(IF(AL42&lt;=100000,AL42,100000))))</f>
        <v>0</v>
      </c>
      <c r="AJ43" s="232"/>
      <c r="AK43" s="170">
        <f>IF(N40&lt;=1100000,0,IF(N40&lt;=3299999,N40-1100000,IF(N40&lt;=4099999,N40*0.75-275000,IF(N40&lt;=7699999,N40*0.85-685000,IF(N40&lt;=9999999,N40*0.95-1455000, IF(N40&gt;=10000000,N40-1955000))))))</f>
        <v>0</v>
      </c>
      <c r="AL43" s="199">
        <f>IF(F40&lt;=64,AK42,IF(AK43-150000&lt;=0,0,AK43-150000))</f>
        <v>0</v>
      </c>
      <c r="AM43" s="243"/>
      <c r="AN43" s="199">
        <f>MAX(AJ42+AL43+AM42,0)</f>
        <v>0</v>
      </c>
      <c r="AQ43" s="246"/>
    </row>
    <row r="44" spans="1:47" ht="18" customHeight="1" thickBot="1" x14ac:dyDescent="0.2">
      <c r="A44" s="53"/>
      <c r="B44" s="54"/>
      <c r="C44" s="76"/>
      <c r="D44" s="76"/>
      <c r="E44" s="76"/>
      <c r="F44" s="76"/>
      <c r="G44" s="76"/>
      <c r="H44" s="76"/>
      <c r="I44" s="276" t="s">
        <v>73</v>
      </c>
      <c r="J44" s="276"/>
      <c r="K44" s="276"/>
      <c r="L44" s="276"/>
      <c r="M44" s="276"/>
      <c r="N44" s="277">
        <f>AP40</f>
        <v>0</v>
      </c>
      <c r="O44" s="277"/>
      <c r="P44" s="277"/>
      <c r="Q44" s="277"/>
      <c r="R44" s="175" t="s">
        <v>0</v>
      </c>
      <c r="S44" s="76"/>
      <c r="T44" s="76"/>
      <c r="U44" s="76"/>
      <c r="V44" s="76"/>
      <c r="W44" s="76"/>
      <c r="X44" s="77"/>
      <c r="Y44" s="13"/>
      <c r="Z44" s="13"/>
      <c r="AA44" s="13"/>
      <c r="AB44" s="13"/>
      <c r="AC44" s="13"/>
      <c r="AD44" s="13"/>
      <c r="AG44" s="229" t="s">
        <v>19</v>
      </c>
      <c r="AH44" s="260"/>
      <c r="AI44" s="166"/>
      <c r="AJ44" s="233">
        <f>AJ40+AJ43</f>
        <v>0</v>
      </c>
      <c r="AK44" s="260"/>
      <c r="AL44" s="200"/>
      <c r="AM44" s="242">
        <f>SUM(AM40:AM43)</f>
        <v>0</v>
      </c>
      <c r="AN44" s="201"/>
      <c r="AQ44" s="246">
        <f>SUM(AQ26:AQ39)+AQ42</f>
        <v>0</v>
      </c>
    </row>
    <row r="45" spans="1:47" ht="16.5" customHeight="1" thickBot="1" x14ac:dyDescent="0.2">
      <c r="A45" s="53"/>
      <c r="B45" s="54"/>
      <c r="C45" s="76"/>
      <c r="D45" s="76"/>
      <c r="E45" s="76"/>
      <c r="F45" s="76"/>
      <c r="G45" s="76"/>
      <c r="H45" s="76"/>
      <c r="I45" s="269"/>
      <c r="J45" s="269"/>
      <c r="K45" s="269"/>
      <c r="L45" s="269"/>
      <c r="M45" s="269"/>
      <c r="N45" s="270"/>
      <c r="O45" s="270"/>
      <c r="P45" s="270"/>
      <c r="Q45" s="270"/>
      <c r="R45" s="173"/>
      <c r="S45" s="76"/>
      <c r="T45" s="76"/>
      <c r="U45" s="76"/>
      <c r="V45" s="76"/>
      <c r="W45" s="76"/>
      <c r="X45" s="77"/>
      <c r="Y45" s="13"/>
      <c r="Z45" s="13"/>
      <c r="AA45" s="13"/>
      <c r="AB45" s="13"/>
      <c r="AC45" s="13"/>
      <c r="AD45" s="13"/>
      <c r="AG45" s="230"/>
      <c r="AH45" s="261"/>
      <c r="AI45" s="167"/>
      <c r="AJ45" s="234"/>
      <c r="AK45" s="261"/>
      <c r="AL45" s="202">
        <f>AL41+AL43</f>
        <v>0</v>
      </c>
      <c r="AM45" s="243"/>
      <c r="AN45" s="202">
        <f>AN41+AN43</f>
        <v>0</v>
      </c>
      <c r="AQ45" s="246"/>
    </row>
    <row r="46" spans="1:47" ht="16.5" customHeight="1" x14ac:dyDescent="0.15">
      <c r="A46" s="53"/>
      <c r="B46" s="54"/>
      <c r="C46" s="76"/>
      <c r="D46" s="76"/>
      <c r="E46" s="76"/>
      <c r="F46" s="76"/>
      <c r="G46" s="76"/>
      <c r="H46" s="76"/>
      <c r="I46" s="271"/>
      <c r="J46" s="271"/>
      <c r="K46" s="271"/>
      <c r="L46" s="271"/>
      <c r="M46" s="271"/>
      <c r="N46" s="271"/>
      <c r="O46" s="76"/>
      <c r="P46" s="76"/>
      <c r="Q46" s="76"/>
      <c r="R46" s="76"/>
      <c r="S46" s="76"/>
      <c r="T46" s="76"/>
      <c r="U46" s="76"/>
      <c r="V46" s="76"/>
      <c r="W46" s="76"/>
      <c r="X46" s="77"/>
      <c r="Y46" s="13"/>
      <c r="Z46" s="13"/>
      <c r="AA46" s="13"/>
      <c r="AB46" s="13"/>
      <c r="AC46" s="13"/>
      <c r="AD46" s="13"/>
      <c r="AH46" s="20"/>
      <c r="AI46" s="18"/>
      <c r="AJ46" s="21"/>
      <c r="AK46" s="21"/>
    </row>
    <row r="47" spans="1:47" ht="12" customHeight="1" thickBot="1" x14ac:dyDescent="0.2">
      <c r="A47" s="53"/>
      <c r="B47" s="54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7"/>
      <c r="Y47" s="13"/>
      <c r="Z47" s="13"/>
      <c r="AA47" s="13"/>
      <c r="AB47" s="13"/>
      <c r="AC47" s="13"/>
      <c r="AD47" s="13"/>
      <c r="AG47" s="31" t="s">
        <v>51</v>
      </c>
      <c r="AH47" s="32">
        <f>COUNT(F40)</f>
        <v>0</v>
      </c>
      <c r="AI47" s="18"/>
      <c r="AJ47" s="21"/>
      <c r="AK47" s="21"/>
    </row>
    <row r="48" spans="1:47" ht="18.75" customHeight="1" thickBot="1" x14ac:dyDescent="0.2">
      <c r="A48" s="53"/>
      <c r="B48" s="54"/>
      <c r="C48" s="76"/>
      <c r="D48" s="76"/>
      <c r="E48" s="76"/>
      <c r="F48" s="272"/>
      <c r="G48" s="272"/>
      <c r="H48" s="272"/>
      <c r="I48" s="217" t="s">
        <v>98</v>
      </c>
      <c r="J48" s="217"/>
      <c r="K48" s="217"/>
      <c r="L48" s="217"/>
      <c r="M48" s="217"/>
      <c r="N48" s="217" t="s">
        <v>99</v>
      </c>
      <c r="O48" s="217"/>
      <c r="P48" s="217"/>
      <c r="Q48" s="217"/>
      <c r="R48" s="217"/>
      <c r="S48" s="217" t="s">
        <v>123</v>
      </c>
      <c r="T48" s="217"/>
      <c r="U48" s="217"/>
      <c r="V48" s="217"/>
      <c r="W48" s="217"/>
      <c r="X48" s="77"/>
      <c r="Y48" s="13"/>
      <c r="Z48" s="13"/>
      <c r="AA48" s="13"/>
      <c r="AB48" s="13"/>
      <c r="AC48" s="13"/>
      <c r="AD48" s="13"/>
      <c r="AH48" s="20"/>
      <c r="AI48" s="18"/>
    </row>
    <row r="49" spans="1:40" ht="4.5" customHeight="1" thickBot="1" x14ac:dyDescent="0.2">
      <c r="A49" s="53"/>
      <c r="B49" s="54"/>
      <c r="C49" s="76"/>
      <c r="D49" s="76"/>
      <c r="E49" s="76"/>
      <c r="F49" s="217" t="s">
        <v>32</v>
      </c>
      <c r="G49" s="217"/>
      <c r="H49" s="217"/>
      <c r="I49" s="280">
        <f>ROUNDDOWN(N44*('R６税率'!B4),0)</f>
        <v>0</v>
      </c>
      <c r="J49" s="280"/>
      <c r="K49" s="280"/>
      <c r="L49" s="280"/>
      <c r="M49" s="217" t="s">
        <v>0</v>
      </c>
      <c r="N49" s="280">
        <f>ROUNDDOWN(N44*('R６税率'!C4),0)</f>
        <v>0</v>
      </c>
      <c r="O49" s="280"/>
      <c r="P49" s="280"/>
      <c r="Q49" s="280"/>
      <c r="R49" s="217" t="s">
        <v>0</v>
      </c>
      <c r="S49" s="280">
        <f>ROUNDDOWN(AT40*('R６税率'!D4),0)</f>
        <v>0</v>
      </c>
      <c r="T49" s="280"/>
      <c r="U49" s="280"/>
      <c r="V49" s="280"/>
      <c r="W49" s="217" t="s">
        <v>0</v>
      </c>
      <c r="X49" s="77"/>
      <c r="Y49" s="13"/>
      <c r="Z49" s="13"/>
      <c r="AA49" s="13"/>
      <c r="AB49" s="13"/>
      <c r="AC49" s="13"/>
      <c r="AD49" s="13"/>
    </row>
    <row r="50" spans="1:40" ht="18.75" customHeight="1" thickBot="1" x14ac:dyDescent="0.2">
      <c r="A50" s="53"/>
      <c r="B50" s="54"/>
      <c r="C50" s="76"/>
      <c r="D50" s="76"/>
      <c r="E50" s="76"/>
      <c r="F50" s="217"/>
      <c r="G50" s="217"/>
      <c r="H50" s="217"/>
      <c r="I50" s="280"/>
      <c r="J50" s="280"/>
      <c r="K50" s="280"/>
      <c r="L50" s="280"/>
      <c r="M50" s="217"/>
      <c r="N50" s="280"/>
      <c r="O50" s="280"/>
      <c r="P50" s="280"/>
      <c r="Q50" s="280"/>
      <c r="R50" s="217"/>
      <c r="S50" s="280"/>
      <c r="T50" s="280"/>
      <c r="U50" s="280"/>
      <c r="V50" s="280"/>
      <c r="W50" s="217"/>
      <c r="X50" s="77"/>
      <c r="Y50" s="13"/>
      <c r="Z50" s="13"/>
      <c r="AA50" s="13"/>
      <c r="AB50" s="13"/>
      <c r="AC50" s="13"/>
      <c r="AD50" s="13"/>
      <c r="AG50" t="s">
        <v>35</v>
      </c>
      <c r="AK50" t="s">
        <v>16</v>
      </c>
      <c r="AM50" s="22"/>
      <c r="AN50" s="22"/>
    </row>
    <row r="51" spans="1:40" ht="18.75" customHeight="1" thickBot="1" x14ac:dyDescent="0.2">
      <c r="A51" s="53"/>
      <c r="B51" s="54"/>
      <c r="C51" s="76"/>
      <c r="D51" s="76"/>
      <c r="E51" s="76"/>
      <c r="F51" s="217" t="s">
        <v>33</v>
      </c>
      <c r="G51" s="217"/>
      <c r="H51" s="217"/>
      <c r="I51" s="280">
        <f>P42*('R６税率'!B5)</f>
        <v>0</v>
      </c>
      <c r="J51" s="280"/>
      <c r="K51" s="280"/>
      <c r="L51" s="280"/>
      <c r="M51" s="169" t="s">
        <v>0</v>
      </c>
      <c r="N51" s="280">
        <f>P42*('R６税率'!C5)</f>
        <v>0</v>
      </c>
      <c r="O51" s="280"/>
      <c r="P51" s="280"/>
      <c r="Q51" s="280"/>
      <c r="R51" s="169" t="s">
        <v>0</v>
      </c>
      <c r="S51" s="280">
        <f>P43*('R６税率'!D5)</f>
        <v>0</v>
      </c>
      <c r="T51" s="280"/>
      <c r="U51" s="280"/>
      <c r="V51" s="280"/>
      <c r="W51" s="169" t="s">
        <v>0</v>
      </c>
      <c r="X51" s="77"/>
      <c r="Y51" s="13"/>
      <c r="Z51" s="13"/>
      <c r="AA51" s="13"/>
      <c r="AB51" s="13"/>
      <c r="AC51" s="13"/>
      <c r="AD51" s="13"/>
      <c r="AG51" s="12" t="s">
        <v>22</v>
      </c>
      <c r="AH51" s="12" t="s">
        <v>61</v>
      </c>
      <c r="AI51" s="12" t="s">
        <v>23</v>
      </c>
      <c r="AK51" s="1"/>
      <c r="AL51" s="12" t="s">
        <v>37</v>
      </c>
      <c r="AM51" s="12" t="s">
        <v>60</v>
      </c>
      <c r="AN51" s="12" t="s">
        <v>41</v>
      </c>
    </row>
    <row r="52" spans="1:40" ht="18.75" customHeight="1" thickBot="1" x14ac:dyDescent="0.2">
      <c r="A52" s="53"/>
      <c r="B52" s="54"/>
      <c r="C52" s="76"/>
      <c r="D52" s="76"/>
      <c r="E52" s="76"/>
      <c r="F52" s="217" t="s">
        <v>34</v>
      </c>
      <c r="G52" s="217"/>
      <c r="H52" s="217"/>
      <c r="I52" s="280">
        <f>IF(I51=0,0,'R６税率'!B6)</f>
        <v>0</v>
      </c>
      <c r="J52" s="280"/>
      <c r="K52" s="280"/>
      <c r="L52" s="280"/>
      <c r="M52" s="169" t="s">
        <v>0</v>
      </c>
      <c r="N52" s="280">
        <f>IF(N51=0,0,'R６税率'!C6)</f>
        <v>0</v>
      </c>
      <c r="O52" s="280"/>
      <c r="P52" s="280"/>
      <c r="Q52" s="280"/>
      <c r="R52" s="169" t="s">
        <v>0</v>
      </c>
      <c r="S52" s="280">
        <f>IF(AU40=0,0,'R６税率'!D6)</f>
        <v>0</v>
      </c>
      <c r="T52" s="280"/>
      <c r="U52" s="280"/>
      <c r="V52" s="280"/>
      <c r="W52" s="169" t="s">
        <v>0</v>
      </c>
      <c r="X52" s="77"/>
      <c r="Y52" s="13"/>
      <c r="Z52" s="13"/>
      <c r="AA52" s="13"/>
      <c r="AB52" s="13"/>
      <c r="AC52" s="13"/>
      <c r="AD52" s="13"/>
      <c r="AG52" s="4">
        <f>SUM(I49:L53)</f>
        <v>0</v>
      </c>
      <c r="AH52" s="4">
        <f>SUM(N49:Q53)</f>
        <v>0</v>
      </c>
      <c r="AI52" s="4">
        <f>SUM(S49:V53)</f>
        <v>0</v>
      </c>
      <c r="AK52" s="23" t="s">
        <v>38</v>
      </c>
      <c r="AL52" s="203">
        <f>IF($AN$45&lt;='R６税率'!B8+100000*MAX($AQ$44-1,0),(I51+I52)*0.7,0)</f>
        <v>0</v>
      </c>
      <c r="AM52" s="203">
        <f>IF($AN$45&lt;='R６税率'!B8+100000*MAX($AQ$44-1,0),(N51+N52)*0.7,0)</f>
        <v>0</v>
      </c>
      <c r="AN52" s="203">
        <f>IF($AN$45&lt;='R６税率'!B8+100000*MAX($AQ$44-1,0),(S51+S52)*0.7,0)</f>
        <v>0</v>
      </c>
    </row>
    <row r="53" spans="1:40" ht="18.75" customHeight="1" thickBot="1" x14ac:dyDescent="0.2">
      <c r="A53" s="53"/>
      <c r="B53" s="54"/>
      <c r="C53" s="76"/>
      <c r="D53" s="76"/>
      <c r="E53" s="76"/>
      <c r="F53" s="217" t="s">
        <v>58</v>
      </c>
      <c r="G53" s="217"/>
      <c r="H53" s="217"/>
      <c r="I53" s="292">
        <f>(AL55+'R６税率'!D16)*-1</f>
        <v>0</v>
      </c>
      <c r="J53" s="292"/>
      <c r="K53" s="292"/>
      <c r="L53" s="292"/>
      <c r="M53" s="171" t="s">
        <v>0</v>
      </c>
      <c r="N53" s="292">
        <f>(AM55+'R６税率'!E16)*-1</f>
        <v>0</v>
      </c>
      <c r="O53" s="292"/>
      <c r="P53" s="292"/>
      <c r="Q53" s="292"/>
      <c r="R53" s="171" t="s">
        <v>0</v>
      </c>
      <c r="S53" s="292">
        <f>AN55*-1</f>
        <v>0</v>
      </c>
      <c r="T53" s="292"/>
      <c r="U53" s="292"/>
      <c r="V53" s="292"/>
      <c r="W53" s="171" t="s">
        <v>0</v>
      </c>
      <c r="X53" s="77"/>
      <c r="Y53" s="13"/>
      <c r="Z53" s="13"/>
      <c r="AA53" s="13"/>
      <c r="AB53" s="13"/>
      <c r="AC53" s="13"/>
      <c r="AD53" s="13"/>
      <c r="AG53" s="5" t="s">
        <v>36</v>
      </c>
      <c r="AI53" s="5"/>
      <c r="AK53" s="23" t="s">
        <v>39</v>
      </c>
      <c r="AL53" s="203">
        <f>IF($AN$45&lt;='R６税率'!B8+'R６税率'!B9*$P$42+100000*MAX($AQ$44-1,0),(I51+I52)*0.5,0)</f>
        <v>0</v>
      </c>
      <c r="AM53" s="203">
        <f>IF($AN$45&lt;='R６税率'!B8+'R６税率'!B9*$P$42+100000*MAX($AQ$44-1,0),(N51+N52)*0.5,0)</f>
        <v>0</v>
      </c>
      <c r="AN53" s="203">
        <f>IF($AN$45&lt;='R６税率'!B8+'R６税率'!B9*$P$42+100000*MAX($AQ$44-1,0),(S51+S52)*0.5,0)</f>
        <v>0</v>
      </c>
    </row>
    <row r="54" spans="1:40" ht="18.75" customHeight="1" thickBot="1" x14ac:dyDescent="0.2">
      <c r="A54" s="53"/>
      <c r="B54" s="54"/>
      <c r="C54" s="76"/>
      <c r="D54" s="76"/>
      <c r="E54" s="76"/>
      <c r="F54" s="217" t="s">
        <v>20</v>
      </c>
      <c r="G54" s="217"/>
      <c r="H54" s="217"/>
      <c r="I54" s="280">
        <f>IF(AG55&lt;='R６税率'!B7,AG55,'R６税率'!B7)</f>
        <v>0</v>
      </c>
      <c r="J54" s="280"/>
      <c r="K54" s="280"/>
      <c r="L54" s="280"/>
      <c r="M54" s="169" t="s">
        <v>0</v>
      </c>
      <c r="N54" s="280">
        <f>IF(AH55&lt;='R６税率'!C7,AH55,'R６税率'!C7)</f>
        <v>0</v>
      </c>
      <c r="O54" s="280"/>
      <c r="P54" s="280"/>
      <c r="Q54" s="280"/>
      <c r="R54" s="169" t="s">
        <v>0</v>
      </c>
      <c r="S54" s="280">
        <f>IF(AI55&lt;='R６税率'!D7,AI55,'R６税率'!D7)</f>
        <v>0</v>
      </c>
      <c r="T54" s="280"/>
      <c r="U54" s="280"/>
      <c r="V54" s="280"/>
      <c r="W54" s="169" t="s">
        <v>0</v>
      </c>
      <c r="X54" s="77"/>
      <c r="Y54" s="13"/>
      <c r="Z54" s="13"/>
      <c r="AA54" s="13"/>
      <c r="AB54" s="13"/>
      <c r="AC54" s="13"/>
      <c r="AD54" s="13"/>
      <c r="AG54" s="12" t="s">
        <v>22</v>
      </c>
      <c r="AH54" s="12" t="s">
        <v>61</v>
      </c>
      <c r="AI54" s="12" t="s">
        <v>23</v>
      </c>
      <c r="AK54" s="23" t="s">
        <v>40</v>
      </c>
      <c r="AL54" s="203">
        <f>IF($AN$45&lt;='R６税率'!B8+'R６税率'!B10*$P$42+100000*MAX($AQ$44-1,0),(I51+I52)*0.2,0)</f>
        <v>0</v>
      </c>
      <c r="AM54" s="203">
        <f>IF($AN$45&lt;='R６税率'!B8+'R６税率'!B10*$P$42+100000*MAX($AQ$44-1,0),(N51+N52)*0.2,0)</f>
        <v>0</v>
      </c>
      <c r="AN54" s="203">
        <f>IF($AN$45&lt;='R６税率'!B8+'R６税率'!B10*$P$42+100000*MAX($AQ$44-1,0),(S51+S52)*0.2,0)</f>
        <v>0</v>
      </c>
    </row>
    <row r="55" spans="1:40" ht="15" customHeight="1" x14ac:dyDescent="0.15">
      <c r="A55" s="53"/>
      <c r="B55" s="54"/>
      <c r="C55" s="76"/>
      <c r="D55" s="76"/>
      <c r="E55" s="76"/>
      <c r="F55" s="173"/>
      <c r="G55" s="173"/>
      <c r="H55" s="173"/>
      <c r="I55" s="176"/>
      <c r="J55" s="176"/>
      <c r="K55" s="176"/>
      <c r="L55" s="176"/>
      <c r="M55" s="76"/>
      <c r="N55" s="176"/>
      <c r="O55" s="176"/>
      <c r="P55" s="176"/>
      <c r="Q55" s="176"/>
      <c r="R55" s="76"/>
      <c r="S55" s="76"/>
      <c r="T55" s="76"/>
      <c r="U55" s="76"/>
      <c r="V55" s="76"/>
      <c r="W55" s="76"/>
      <c r="X55" s="77"/>
      <c r="Y55" s="13"/>
      <c r="Z55" s="13"/>
      <c r="AA55" s="13"/>
      <c r="AB55" s="13"/>
      <c r="AC55" s="13"/>
      <c r="AD55" s="13"/>
      <c r="AG55" s="4">
        <f>ROUNDDOWN(AG52,-2)</f>
        <v>0</v>
      </c>
      <c r="AH55" s="4">
        <f>ROUNDDOWN(AH52,-2)</f>
        <v>0</v>
      </c>
      <c r="AI55" s="4">
        <f>ROUNDDOWN(AI52,-2)</f>
        <v>0</v>
      </c>
      <c r="AK55" s="25" t="s">
        <v>42</v>
      </c>
      <c r="AL55" s="26">
        <f>MAX(AL52:AL54)</f>
        <v>0</v>
      </c>
      <c r="AM55" s="26">
        <f>MAX(AM52:AM54)</f>
        <v>0</v>
      </c>
      <c r="AN55" s="26">
        <f>MAX(AN52:AN54)</f>
        <v>0</v>
      </c>
    </row>
    <row r="56" spans="1:40" x14ac:dyDescent="0.15">
      <c r="A56" s="53"/>
      <c r="B56" s="54"/>
      <c r="C56" s="76"/>
      <c r="D56" s="76"/>
      <c r="E56" s="76"/>
      <c r="F56" s="173"/>
      <c r="G56" s="173"/>
      <c r="H56" s="173"/>
      <c r="I56" s="176"/>
      <c r="J56" s="176"/>
      <c r="K56" s="176"/>
      <c r="L56" s="176"/>
      <c r="M56" s="76"/>
      <c r="N56" s="176"/>
      <c r="O56" s="176"/>
      <c r="P56" s="176"/>
      <c r="Q56" s="176"/>
      <c r="R56" s="76"/>
      <c r="S56" s="76"/>
      <c r="T56" s="76"/>
      <c r="U56" s="76"/>
      <c r="V56" s="76"/>
      <c r="W56" s="76"/>
      <c r="X56" s="77"/>
      <c r="Y56" s="13"/>
      <c r="Z56" s="13"/>
      <c r="AA56" s="13"/>
      <c r="AB56" s="13"/>
      <c r="AC56" s="13"/>
      <c r="AD56" s="13"/>
    </row>
    <row r="57" spans="1:40" ht="22.5" customHeight="1" x14ac:dyDescent="0.15">
      <c r="A57" s="53"/>
      <c r="B57" s="54"/>
      <c r="C57" s="76"/>
      <c r="D57" s="76"/>
      <c r="E57" s="76"/>
      <c r="F57" s="76"/>
      <c r="G57" s="76"/>
      <c r="H57" s="76"/>
      <c r="I57" s="286"/>
      <c r="J57" s="286"/>
      <c r="K57" s="286"/>
      <c r="L57" s="28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7"/>
      <c r="Y57" s="13"/>
      <c r="Z57" s="13"/>
      <c r="AA57" s="13"/>
      <c r="AB57" s="13"/>
      <c r="AC57" s="13"/>
      <c r="AD57" s="13"/>
      <c r="AH57" s="19"/>
    </row>
    <row r="58" spans="1:40" ht="10.5" customHeight="1" x14ac:dyDescent="0.15">
      <c r="A58" s="53"/>
      <c r="B58" s="54"/>
      <c r="C58" s="76"/>
      <c r="D58" s="76"/>
      <c r="E58" s="76"/>
      <c r="F58" s="76"/>
      <c r="G58" s="76"/>
      <c r="H58" s="76"/>
      <c r="I58" s="174"/>
      <c r="J58" s="174"/>
      <c r="K58" s="174"/>
      <c r="L58" s="174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7"/>
      <c r="Y58" s="13"/>
      <c r="Z58" s="13"/>
      <c r="AA58" s="13"/>
      <c r="AB58" s="13"/>
      <c r="AC58" s="13"/>
      <c r="AD58" s="13"/>
      <c r="AH58" s="19"/>
    </row>
    <row r="59" spans="1:40" ht="11.25" customHeight="1" thickBot="1" x14ac:dyDescent="0.2">
      <c r="A59" s="53"/>
      <c r="B59" s="54"/>
      <c r="C59" s="76"/>
      <c r="D59" s="76"/>
      <c r="E59" s="76"/>
      <c r="F59" s="269"/>
      <c r="G59" s="269"/>
      <c r="H59" s="269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85"/>
      <c r="Y59" s="13"/>
      <c r="Z59" s="13"/>
      <c r="AA59" s="13"/>
      <c r="AB59" s="13"/>
      <c r="AC59" s="13"/>
      <c r="AD59" s="13"/>
      <c r="AG59" s="20"/>
      <c r="AH59" s="18"/>
    </row>
    <row r="60" spans="1:40" ht="21.75" customHeight="1" thickBot="1" x14ac:dyDescent="0.2">
      <c r="A60" s="53"/>
      <c r="B60" s="54"/>
      <c r="C60" s="76"/>
      <c r="D60" s="76"/>
      <c r="E60" s="76"/>
      <c r="F60" s="76"/>
      <c r="G60" s="76"/>
      <c r="H60" s="281" t="s">
        <v>63</v>
      </c>
      <c r="I60" s="282"/>
      <c r="J60" s="282"/>
      <c r="K60" s="283"/>
      <c r="L60" s="287">
        <f>I54+S54+N54</f>
        <v>0</v>
      </c>
      <c r="M60" s="285"/>
      <c r="N60" s="285"/>
      <c r="O60" s="285"/>
      <c r="P60" s="169" t="s">
        <v>0</v>
      </c>
      <c r="Q60" s="110" t="s">
        <v>69</v>
      </c>
      <c r="R60" s="110"/>
      <c r="S60" s="76"/>
      <c r="T60" s="288" t="s">
        <v>86</v>
      </c>
      <c r="U60" s="289"/>
      <c r="V60" s="290" t="str">
        <f>'R６税率'!E6</f>
        <v>該当なし</v>
      </c>
      <c r="W60" s="291"/>
      <c r="X60" s="85"/>
      <c r="Y60" s="13"/>
      <c r="Z60" s="13"/>
      <c r="AA60" s="13"/>
      <c r="AB60" s="13"/>
      <c r="AC60" s="13"/>
      <c r="AD60" s="13"/>
    </row>
    <row r="61" spans="1:40" ht="21.75" customHeight="1" thickBot="1" x14ac:dyDescent="0.2">
      <c r="A61" s="53"/>
      <c r="B61" s="54"/>
      <c r="C61" s="76"/>
      <c r="D61" s="76"/>
      <c r="E61" s="76"/>
      <c r="F61" s="76"/>
      <c r="G61" s="76"/>
      <c r="H61" s="281" t="s">
        <v>26</v>
      </c>
      <c r="I61" s="282"/>
      <c r="J61" s="282"/>
      <c r="K61" s="283"/>
      <c r="L61" s="284">
        <f>L60/12</f>
        <v>0</v>
      </c>
      <c r="M61" s="285"/>
      <c r="N61" s="285"/>
      <c r="O61" s="285"/>
      <c r="P61" s="169" t="s">
        <v>0</v>
      </c>
      <c r="Q61" s="110" t="s">
        <v>69</v>
      </c>
      <c r="R61" s="110"/>
      <c r="S61" s="76"/>
      <c r="T61" s="76"/>
      <c r="U61" s="76"/>
      <c r="V61" s="76"/>
      <c r="W61" s="76"/>
      <c r="X61" s="58"/>
      <c r="Y61" s="13"/>
      <c r="Z61" s="13"/>
      <c r="AA61" s="13"/>
      <c r="AB61" s="13"/>
      <c r="AC61" s="13"/>
      <c r="AD61" s="13"/>
    </row>
    <row r="62" spans="1:40" ht="21.75" thickBot="1" x14ac:dyDescent="0.25">
      <c r="A62" s="12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49" t="str">
        <f>IF(X40=0,"","非自離軽減適用の金額です")</f>
        <v/>
      </c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05"/>
      <c r="Y62" s="7"/>
      <c r="Z62" s="7"/>
      <c r="AA62" s="7"/>
      <c r="AB62" s="7"/>
      <c r="AC62" s="7"/>
      <c r="AD62" s="7"/>
    </row>
    <row r="63" spans="1:40" x14ac:dyDescent="0.15">
      <c r="A63" s="7"/>
      <c r="B63" s="111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40" x14ac:dyDescent="0.15">
      <c r="A64" s="7"/>
      <c r="B64" s="111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x14ac:dyDescent="0.15">
      <c r="A65" s="7"/>
      <c r="B65" s="111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x14ac:dyDescent="0.15">
      <c r="A66" s="7"/>
      <c r="B66" s="111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x14ac:dyDescent="0.15">
      <c r="A67" s="7"/>
      <c r="B67" s="111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x14ac:dyDescent="0.15">
      <c r="A68" s="7"/>
      <c r="B68" s="111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</sheetData>
  <sheetProtection algorithmName="SHA-512" hashValue="aLKfnldQJl0JpRzVTnO0NyaG4ex7CGgqOVydjs7frCkMr32wPg+6hz7Eil2S+HGgfE6ru6QCQPJfZ7g54P2mLw==" saltValue="xyY9NkQQuShOrcZ3Y8du0Q==" spinCount="100000" sheet="1" selectLockedCells="1"/>
  <mergeCells count="272">
    <mergeCell ref="AF38:AF39"/>
    <mergeCell ref="AE38:AE39"/>
    <mergeCell ref="AF28:AF29"/>
    <mergeCell ref="AF30:AF31"/>
    <mergeCell ref="AF32:AF33"/>
    <mergeCell ref="AF34:AF35"/>
    <mergeCell ref="AF36:AF37"/>
    <mergeCell ref="AF42:AF43"/>
    <mergeCell ref="AE42:AE43"/>
    <mergeCell ref="AE30:AE31"/>
    <mergeCell ref="AE32:AE33"/>
    <mergeCell ref="AQ24:AQ25"/>
    <mergeCell ref="AP24:AP25"/>
    <mergeCell ref="AE24:AE25"/>
    <mergeCell ref="AF24:AF25"/>
    <mergeCell ref="AJ24:AJ25"/>
    <mergeCell ref="AM24:AM25"/>
    <mergeCell ref="AO24:AO25"/>
    <mergeCell ref="AG24:AG25"/>
    <mergeCell ref="AE28:AE29"/>
    <mergeCell ref="AQ36:AQ37"/>
    <mergeCell ref="AM34:AM35"/>
    <mergeCell ref="AO34:AO35"/>
    <mergeCell ref="AP34:AP35"/>
    <mergeCell ref="AG34:AG35"/>
    <mergeCell ref="H61:K61"/>
    <mergeCell ref="L61:O61"/>
    <mergeCell ref="I57:L57"/>
    <mergeCell ref="F59:H59"/>
    <mergeCell ref="H60:K60"/>
    <mergeCell ref="L60:O60"/>
    <mergeCell ref="T60:U60"/>
    <mergeCell ref="V60:W60"/>
    <mergeCell ref="F53:H53"/>
    <mergeCell ref="I53:L53"/>
    <mergeCell ref="N53:Q53"/>
    <mergeCell ref="S53:V53"/>
    <mergeCell ref="F54:H54"/>
    <mergeCell ref="I54:L54"/>
    <mergeCell ref="N54:Q54"/>
    <mergeCell ref="S54:V54"/>
    <mergeCell ref="W49:W50"/>
    <mergeCell ref="F51:H51"/>
    <mergeCell ref="I51:L51"/>
    <mergeCell ref="N51:Q51"/>
    <mergeCell ref="S51:V51"/>
    <mergeCell ref="F52:H52"/>
    <mergeCell ref="I52:L52"/>
    <mergeCell ref="N52:Q52"/>
    <mergeCell ref="S52:V52"/>
    <mergeCell ref="F49:H50"/>
    <mergeCell ref="I49:L50"/>
    <mergeCell ref="M49:M50"/>
    <mergeCell ref="N49:Q50"/>
    <mergeCell ref="R49:R50"/>
    <mergeCell ref="S49:V50"/>
    <mergeCell ref="AQ44:AQ45"/>
    <mergeCell ref="I45:M45"/>
    <mergeCell ref="N45:Q45"/>
    <mergeCell ref="I46:N46"/>
    <mergeCell ref="F48:H48"/>
    <mergeCell ref="I48:M48"/>
    <mergeCell ref="N48:R48"/>
    <mergeCell ref="S48:W48"/>
    <mergeCell ref="AQ42:AQ43"/>
    <mergeCell ref="I43:O43"/>
    <mergeCell ref="P43:Q43"/>
    <mergeCell ref="I44:M44"/>
    <mergeCell ref="N44:Q44"/>
    <mergeCell ref="AG44:AG45"/>
    <mergeCell ref="AH44:AH45"/>
    <mergeCell ref="AJ44:AJ45"/>
    <mergeCell ref="AK44:AK45"/>
    <mergeCell ref="AM44:AM45"/>
    <mergeCell ref="I42:O42"/>
    <mergeCell ref="P42:Q42"/>
    <mergeCell ref="AG42:AG43"/>
    <mergeCell ref="AJ42:AJ43"/>
    <mergeCell ref="AM42:AM43"/>
    <mergeCell ref="AA40:AA41"/>
    <mergeCell ref="AE40:AE41"/>
    <mergeCell ref="AG40:AG41"/>
    <mergeCell ref="AH40:AH41"/>
    <mergeCell ref="AJ40:AJ41"/>
    <mergeCell ref="AK40:AK41"/>
    <mergeCell ref="R40:R41"/>
    <mergeCell ref="S40:V41"/>
    <mergeCell ref="W40:W41"/>
    <mergeCell ref="X40:X41"/>
    <mergeCell ref="Y40:Y41"/>
    <mergeCell ref="Z40:Z41"/>
    <mergeCell ref="AU38:AU39"/>
    <mergeCell ref="C40:E40"/>
    <mergeCell ref="F40:G41"/>
    <mergeCell ref="H40:H41"/>
    <mergeCell ref="I40:L41"/>
    <mergeCell ref="M40:M41"/>
    <mergeCell ref="N40:Q41"/>
    <mergeCell ref="AA38:AA39"/>
    <mergeCell ref="AG38:AG39"/>
    <mergeCell ref="AJ38:AJ39"/>
    <mergeCell ref="AM38:AM39"/>
    <mergeCell ref="AO38:AO39"/>
    <mergeCell ref="AP38:AP39"/>
    <mergeCell ref="R38:R39"/>
    <mergeCell ref="S38:V39"/>
    <mergeCell ref="W38:W39"/>
    <mergeCell ref="X38:X39"/>
    <mergeCell ref="Y38:Y39"/>
    <mergeCell ref="Z38:Z39"/>
    <mergeCell ref="AM40:AM41"/>
    <mergeCell ref="AO40:AO41"/>
    <mergeCell ref="AP40:AP41"/>
    <mergeCell ref="AQ40:AQ41"/>
    <mergeCell ref="C41:E41"/>
    <mergeCell ref="AS36:AS37"/>
    <mergeCell ref="AT36:AT37"/>
    <mergeCell ref="AU36:AU37"/>
    <mergeCell ref="C38:E39"/>
    <mergeCell ref="F38:G39"/>
    <mergeCell ref="H38:H39"/>
    <mergeCell ref="I38:L39"/>
    <mergeCell ref="M38:M39"/>
    <mergeCell ref="N38:Q39"/>
    <mergeCell ref="AA36:AA37"/>
    <mergeCell ref="AG36:AG37"/>
    <mergeCell ref="AJ36:AJ37"/>
    <mergeCell ref="AM36:AM37"/>
    <mergeCell ref="AO36:AO37"/>
    <mergeCell ref="AP36:AP37"/>
    <mergeCell ref="R36:R37"/>
    <mergeCell ref="S36:V37"/>
    <mergeCell ref="W36:W37"/>
    <mergeCell ref="X36:X37"/>
    <mergeCell ref="Y36:Y37"/>
    <mergeCell ref="Z36:Z37"/>
    <mergeCell ref="AQ38:AQ39"/>
    <mergeCell ref="AS38:AS39"/>
    <mergeCell ref="AT38:AT39"/>
    <mergeCell ref="R34:R35"/>
    <mergeCell ref="S34:V35"/>
    <mergeCell ref="W34:W35"/>
    <mergeCell ref="X34:X35"/>
    <mergeCell ref="Y34:Y35"/>
    <mergeCell ref="Z34:Z35"/>
    <mergeCell ref="AE34:AE35"/>
    <mergeCell ref="C36:E37"/>
    <mergeCell ref="F36:G37"/>
    <mergeCell ref="H36:H37"/>
    <mergeCell ref="I36:L37"/>
    <mergeCell ref="M36:M37"/>
    <mergeCell ref="N36:Q37"/>
    <mergeCell ref="AA34:AA35"/>
    <mergeCell ref="AJ34:AJ35"/>
    <mergeCell ref="AE36:AE37"/>
    <mergeCell ref="AT32:AT33"/>
    <mergeCell ref="AU32:AU33"/>
    <mergeCell ref="C34:E35"/>
    <mergeCell ref="F34:G35"/>
    <mergeCell ref="H34:H35"/>
    <mergeCell ref="I34:L35"/>
    <mergeCell ref="M34:M35"/>
    <mergeCell ref="N34:Q35"/>
    <mergeCell ref="AA32:AA33"/>
    <mergeCell ref="AG32:AG33"/>
    <mergeCell ref="AJ32:AJ33"/>
    <mergeCell ref="AM32:AM33"/>
    <mergeCell ref="AO32:AO33"/>
    <mergeCell ref="AP32:AP33"/>
    <mergeCell ref="R32:R33"/>
    <mergeCell ref="S32:V33"/>
    <mergeCell ref="W32:W33"/>
    <mergeCell ref="X32:X33"/>
    <mergeCell ref="Y32:Y33"/>
    <mergeCell ref="Z32:Z33"/>
    <mergeCell ref="AQ34:AQ35"/>
    <mergeCell ref="AS34:AS35"/>
    <mergeCell ref="AT34:AT35"/>
    <mergeCell ref="AU34:AU35"/>
    <mergeCell ref="AQ30:AQ31"/>
    <mergeCell ref="AS30:AS31"/>
    <mergeCell ref="AT30:AT31"/>
    <mergeCell ref="AU30:AU31"/>
    <mergeCell ref="C32:E33"/>
    <mergeCell ref="F32:G33"/>
    <mergeCell ref="H32:H33"/>
    <mergeCell ref="I32:L33"/>
    <mergeCell ref="M32:M33"/>
    <mergeCell ref="N32:Q33"/>
    <mergeCell ref="AA30:AA31"/>
    <mergeCell ref="AG30:AG31"/>
    <mergeCell ref="AJ30:AJ31"/>
    <mergeCell ref="AM30:AM31"/>
    <mergeCell ref="AO30:AO31"/>
    <mergeCell ref="AP30:AP31"/>
    <mergeCell ref="R30:R31"/>
    <mergeCell ref="S30:V31"/>
    <mergeCell ref="W30:W31"/>
    <mergeCell ref="X30:X31"/>
    <mergeCell ref="Y30:Y31"/>
    <mergeCell ref="Z30:Z31"/>
    <mergeCell ref="AQ32:AQ33"/>
    <mergeCell ref="AS32:AS33"/>
    <mergeCell ref="AM28:AM29"/>
    <mergeCell ref="AO28:AO29"/>
    <mergeCell ref="AP28:AP29"/>
    <mergeCell ref="R28:R29"/>
    <mergeCell ref="S28:V29"/>
    <mergeCell ref="W28:W29"/>
    <mergeCell ref="X28:X29"/>
    <mergeCell ref="Y28:Y29"/>
    <mergeCell ref="Z28:Z29"/>
    <mergeCell ref="C30:E31"/>
    <mergeCell ref="F30:G31"/>
    <mergeCell ref="H30:H31"/>
    <mergeCell ref="I30:L31"/>
    <mergeCell ref="M30:M31"/>
    <mergeCell ref="N30:Q31"/>
    <mergeCell ref="AA28:AA29"/>
    <mergeCell ref="AG28:AG29"/>
    <mergeCell ref="AJ28:AJ29"/>
    <mergeCell ref="AU26:AU27"/>
    <mergeCell ref="C27:E27"/>
    <mergeCell ref="C28:E29"/>
    <mergeCell ref="F28:G29"/>
    <mergeCell ref="H28:H29"/>
    <mergeCell ref="I28:L29"/>
    <mergeCell ref="M28:M29"/>
    <mergeCell ref="N28:Q29"/>
    <mergeCell ref="AG26:AG27"/>
    <mergeCell ref="AJ26:AJ27"/>
    <mergeCell ref="AM26:AM27"/>
    <mergeCell ref="AO26:AO27"/>
    <mergeCell ref="AP26:AP27"/>
    <mergeCell ref="AQ26:AQ27"/>
    <mergeCell ref="S26:V27"/>
    <mergeCell ref="W26:W27"/>
    <mergeCell ref="X26:X27"/>
    <mergeCell ref="Y26:Y27"/>
    <mergeCell ref="Z26:Z27"/>
    <mergeCell ref="AA26:AA27"/>
    <mergeCell ref="AQ28:AQ29"/>
    <mergeCell ref="AS28:AS29"/>
    <mergeCell ref="AT28:AT29"/>
    <mergeCell ref="AU28:AU29"/>
    <mergeCell ref="C26:E26"/>
    <mergeCell ref="F26:G27"/>
    <mergeCell ref="H26:H27"/>
    <mergeCell ref="I26:L27"/>
    <mergeCell ref="M26:M27"/>
    <mergeCell ref="N26:Q27"/>
    <mergeCell ref="R26:R27"/>
    <mergeCell ref="AS26:AS27"/>
    <mergeCell ref="AT26:AT27"/>
    <mergeCell ref="AE26:AE27"/>
    <mergeCell ref="AF26:AF27"/>
    <mergeCell ref="Y22:Y25"/>
    <mergeCell ref="Z22:AA23"/>
    <mergeCell ref="Z24:AA25"/>
    <mergeCell ref="C6:W6"/>
    <mergeCell ref="A21:X21"/>
    <mergeCell ref="C22:E23"/>
    <mergeCell ref="F22:H23"/>
    <mergeCell ref="I22:M23"/>
    <mergeCell ref="N22:R23"/>
    <mergeCell ref="S22:W23"/>
    <mergeCell ref="X22:X25"/>
    <mergeCell ref="C24:E25"/>
    <mergeCell ref="F24:H25"/>
    <mergeCell ref="I24:M25"/>
    <mergeCell ref="N24:R25"/>
    <mergeCell ref="S24:W25"/>
  </mergeCells>
  <phoneticPr fontId="2"/>
  <conditionalFormatting sqref="F26:G27">
    <cfRule type="expression" dxfId="6" priority="7">
      <formula>Y26=1</formula>
    </cfRule>
  </conditionalFormatting>
  <conditionalFormatting sqref="F28:G29">
    <cfRule type="expression" dxfId="5" priority="6">
      <formula>Y28=1</formula>
    </cfRule>
  </conditionalFormatting>
  <conditionalFormatting sqref="F30:G31">
    <cfRule type="expression" dxfId="4" priority="5">
      <formula>Y30=1</formula>
    </cfRule>
  </conditionalFormatting>
  <conditionalFormatting sqref="F32:G33">
    <cfRule type="expression" dxfId="3" priority="4">
      <formula>Y32=1</formula>
    </cfRule>
  </conditionalFormatting>
  <conditionalFormatting sqref="F34:G35">
    <cfRule type="expression" dxfId="2" priority="3">
      <formula>Y34=1</formula>
    </cfRule>
  </conditionalFormatting>
  <conditionalFormatting sqref="F36:G37">
    <cfRule type="expression" dxfId="1" priority="2">
      <formula>Y36=1</formula>
    </cfRule>
  </conditionalFormatting>
  <conditionalFormatting sqref="F38:G39">
    <cfRule type="expression" dxfId="0" priority="1">
      <formula>Y38=1</formula>
    </cfRule>
  </conditionalFormatting>
  <pageMargins left="0.31496062992125984" right="0.23622047244094491" top="0.23622047244094491" bottom="0.19685039370078741" header="0.51181102362204722" footer="0.35433070866141736"/>
  <pageSetup paperSize="9" scale="80" orientation="portrait" horizontalDpi="300" verticalDpi="300" r:id="rId1"/>
  <headerFooter alignWithMargins="0"/>
  <rowBreaks count="1" manualBreakCount="1">
    <brk id="62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68"/>
  <sheetViews>
    <sheetView view="pageBreakPreview" topLeftCell="B1" zoomScaleNormal="100" zoomScaleSheetLayoutView="100" workbookViewId="0">
      <selection activeCell="Z9" sqref="Z9"/>
    </sheetView>
  </sheetViews>
  <sheetFormatPr defaultColWidth="2.75" defaultRowHeight="13.5" x14ac:dyDescent="0.15"/>
  <cols>
    <col min="1" max="1" width="5" customWidth="1"/>
    <col min="2" max="2" width="0.625" style="112" customWidth="1"/>
    <col min="3" max="3" width="2.625" customWidth="1"/>
    <col min="4" max="4" width="2.75" customWidth="1"/>
    <col min="5" max="5" width="19.375" customWidth="1"/>
    <col min="6" max="6" width="5.75" customWidth="1"/>
    <col min="7" max="7" width="12.875" customWidth="1"/>
    <col min="8" max="8" width="3.5" customWidth="1"/>
    <col min="9" max="11" width="3.875" customWidth="1"/>
    <col min="12" max="12" width="6.25" customWidth="1"/>
    <col min="13" max="13" width="3.5" customWidth="1"/>
    <col min="14" max="16" width="3.875" customWidth="1"/>
    <col min="17" max="17" width="6" customWidth="1"/>
    <col min="18" max="18" width="3.5" customWidth="1"/>
    <col min="19" max="20" width="3.875" customWidth="1"/>
    <col min="21" max="21" width="4.625" customWidth="1"/>
    <col min="22" max="22" width="6" customWidth="1"/>
    <col min="23" max="23" width="3.5" customWidth="1"/>
    <col min="24" max="24" width="6.25" customWidth="1"/>
    <col min="25" max="25" width="4.125" customWidth="1"/>
    <col min="26" max="26" width="19.125" customWidth="1"/>
    <col min="27" max="28" width="11.75" customWidth="1"/>
    <col min="29" max="29" width="25.375" customWidth="1"/>
    <col min="30" max="44" width="12.625" customWidth="1"/>
  </cols>
  <sheetData>
    <row r="1" spans="1:28" ht="45.75" customHeight="1" thickBot="1" x14ac:dyDescent="0.2">
      <c r="A1" s="7"/>
      <c r="B1" s="111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0.25" customHeight="1" x14ac:dyDescent="0.2">
      <c r="A2" s="119"/>
      <c r="B2" s="120"/>
      <c r="C2" s="121" t="s">
        <v>68</v>
      </c>
      <c r="D2" s="122" t="s">
        <v>116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0"/>
      <c r="X2" s="124"/>
      <c r="Y2" s="7"/>
      <c r="Z2" s="7"/>
      <c r="AA2" s="7"/>
    </row>
    <row r="3" spans="1:28" ht="18.75" customHeight="1" x14ac:dyDescent="0.2">
      <c r="A3" s="53"/>
      <c r="B3" s="54"/>
      <c r="C3" s="55" t="s">
        <v>68</v>
      </c>
      <c r="D3" s="75" t="s">
        <v>103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56"/>
      <c r="Q3" s="56"/>
      <c r="R3" s="56"/>
      <c r="S3" s="56"/>
      <c r="T3" s="56"/>
      <c r="U3" s="56"/>
      <c r="V3" s="57"/>
      <c r="W3" s="54"/>
      <c r="X3" s="58"/>
      <c r="Y3" s="7"/>
      <c r="Z3" s="7"/>
      <c r="AA3" s="7"/>
    </row>
    <row r="4" spans="1:28" ht="18.75" customHeight="1" x14ac:dyDescent="0.2">
      <c r="A4" s="53"/>
      <c r="B4" s="54"/>
      <c r="C4" s="55" t="s">
        <v>68</v>
      </c>
      <c r="D4" s="56" t="s">
        <v>91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  <c r="W4" s="54"/>
      <c r="X4" s="58"/>
      <c r="Y4" s="7"/>
      <c r="Z4" s="7"/>
      <c r="AA4" s="7"/>
    </row>
    <row r="5" spans="1:28" ht="6" customHeight="1" x14ac:dyDescent="0.2">
      <c r="A5" s="53"/>
      <c r="B5" s="54"/>
      <c r="C5" s="5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4"/>
      <c r="X5" s="58"/>
      <c r="Y5" s="7"/>
      <c r="Z5" s="7"/>
      <c r="AA5" s="7"/>
    </row>
    <row r="6" spans="1:28" s="51" customFormat="1" ht="21" customHeight="1" x14ac:dyDescent="0.15">
      <c r="A6" s="60"/>
      <c r="B6" s="134"/>
      <c r="C6" s="212" t="s">
        <v>79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61"/>
      <c r="Y6" s="116"/>
      <c r="Z6" s="62"/>
      <c r="AA6" s="62"/>
    </row>
    <row r="7" spans="1:28" ht="17.25" customHeight="1" x14ac:dyDescent="0.15">
      <c r="A7" s="63"/>
      <c r="B7" s="64"/>
      <c r="C7" s="65">
        <v>1</v>
      </c>
      <c r="D7" s="66" t="s">
        <v>104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7"/>
      <c r="Y7" s="133"/>
      <c r="Z7" s="13"/>
      <c r="AA7" s="13"/>
    </row>
    <row r="8" spans="1:28" ht="17.25" customHeight="1" x14ac:dyDescent="0.15">
      <c r="A8" s="63"/>
      <c r="B8" s="64"/>
      <c r="C8" s="65"/>
      <c r="D8" s="66" t="s">
        <v>102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  <c r="Y8" s="15"/>
      <c r="Z8" s="13"/>
      <c r="AA8" s="13"/>
    </row>
    <row r="9" spans="1:28" ht="17.25" customHeight="1" x14ac:dyDescent="0.15">
      <c r="A9" s="63"/>
      <c r="B9" s="64"/>
      <c r="C9" s="65">
        <v>2</v>
      </c>
      <c r="D9" s="66" t="s">
        <v>115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7"/>
      <c r="Y9" s="15"/>
      <c r="Z9" s="13"/>
      <c r="AA9" s="13"/>
    </row>
    <row r="10" spans="1:28" ht="17.25" customHeight="1" x14ac:dyDescent="0.2">
      <c r="A10" s="63"/>
      <c r="B10" s="64"/>
      <c r="C10" s="65">
        <v>3</v>
      </c>
      <c r="D10" s="68" t="s">
        <v>95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6"/>
      <c r="S10" s="66"/>
      <c r="T10" s="66"/>
      <c r="U10" s="66"/>
      <c r="V10" s="66"/>
      <c r="W10" s="66"/>
      <c r="X10" s="67"/>
      <c r="Y10" s="15"/>
      <c r="Z10" s="13"/>
      <c r="AA10" s="13"/>
    </row>
    <row r="11" spans="1:28" ht="17.25" customHeight="1" x14ac:dyDescent="0.15">
      <c r="A11" s="63"/>
      <c r="B11" s="64"/>
      <c r="C11" s="65">
        <v>4</v>
      </c>
      <c r="D11" s="70" t="s">
        <v>80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  <c r="Y11" s="117"/>
      <c r="Z11" s="14"/>
      <c r="AA11" s="14"/>
    </row>
    <row r="12" spans="1:28" ht="17.25" customHeight="1" x14ac:dyDescent="0.15">
      <c r="A12" s="63"/>
      <c r="B12" s="64"/>
      <c r="C12" s="65"/>
      <c r="D12" s="70" t="s">
        <v>81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2"/>
      <c r="Y12" s="117"/>
      <c r="Z12" s="14"/>
      <c r="AA12" s="14"/>
    </row>
    <row r="13" spans="1:28" ht="17.25" customHeight="1" x14ac:dyDescent="0.15">
      <c r="A13" s="63"/>
      <c r="B13" s="64"/>
      <c r="C13" s="65">
        <v>5</v>
      </c>
      <c r="D13" s="70" t="s">
        <v>90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117"/>
      <c r="Z13" s="14"/>
      <c r="AA13" s="14"/>
    </row>
    <row r="14" spans="1:28" ht="17.25" customHeight="1" x14ac:dyDescent="0.15">
      <c r="A14" s="63"/>
      <c r="B14" s="64"/>
      <c r="C14" s="65"/>
      <c r="D14" s="66" t="s">
        <v>71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7"/>
      <c r="Y14" s="15"/>
      <c r="Z14" s="13"/>
      <c r="AA14" s="13"/>
    </row>
    <row r="15" spans="1:28" ht="18.75" customHeight="1" x14ac:dyDescent="0.15">
      <c r="A15" s="53"/>
      <c r="B15" s="54"/>
      <c r="C15" s="73"/>
      <c r="D15" s="74" t="s">
        <v>67</v>
      </c>
      <c r="E15" s="75" t="s">
        <v>92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57"/>
      <c r="Q15" s="57"/>
      <c r="R15" s="76"/>
      <c r="S15" s="76"/>
      <c r="T15" s="76"/>
      <c r="U15" s="76"/>
      <c r="V15" s="76"/>
      <c r="W15" s="76"/>
      <c r="X15" s="77"/>
      <c r="Y15" s="15"/>
      <c r="Z15" s="13"/>
      <c r="AA15" s="13"/>
    </row>
    <row r="16" spans="1:28" s="51" customFormat="1" ht="17.25" customHeight="1" x14ac:dyDescent="0.15">
      <c r="A16" s="78"/>
      <c r="B16" s="79"/>
      <c r="C16" s="80"/>
      <c r="D16" s="81"/>
      <c r="E16" s="82" t="s">
        <v>82</v>
      </c>
      <c r="F16" s="82"/>
      <c r="G16" s="82"/>
      <c r="H16" s="82"/>
      <c r="I16" s="82"/>
      <c r="J16" s="82"/>
      <c r="K16" s="82"/>
      <c r="L16" s="82"/>
      <c r="M16" s="82"/>
      <c r="N16" s="82"/>
      <c r="O16" s="83"/>
      <c r="P16" s="84"/>
      <c r="Q16" s="84"/>
      <c r="R16" s="84"/>
      <c r="S16" s="84"/>
      <c r="T16" s="84"/>
      <c r="U16" s="84"/>
      <c r="V16" s="84"/>
      <c r="W16" s="84"/>
      <c r="X16" s="85"/>
      <c r="Y16" s="48"/>
      <c r="Z16" s="16"/>
      <c r="AA16" s="16"/>
    </row>
    <row r="17" spans="1:45" s="51" customFormat="1" ht="17.25" customHeight="1" x14ac:dyDescent="0.15">
      <c r="A17" s="78"/>
      <c r="B17" s="79"/>
      <c r="C17" s="86"/>
      <c r="D17" s="87"/>
      <c r="E17" s="82" t="s">
        <v>96</v>
      </c>
      <c r="F17" s="82"/>
      <c r="G17" s="82"/>
      <c r="H17" s="82"/>
      <c r="I17" s="82"/>
      <c r="J17" s="82"/>
      <c r="K17" s="82"/>
      <c r="L17" s="82"/>
      <c r="M17" s="82"/>
      <c r="N17" s="82"/>
      <c r="O17" s="83"/>
      <c r="P17" s="84"/>
      <c r="Q17" s="84"/>
      <c r="R17" s="84"/>
      <c r="S17" s="84"/>
      <c r="T17" s="84"/>
      <c r="U17" s="84"/>
      <c r="V17" s="84"/>
      <c r="W17" s="84"/>
      <c r="X17" s="85"/>
      <c r="Y17" s="48"/>
      <c r="Z17" s="16"/>
      <c r="AA17" s="16"/>
    </row>
    <row r="18" spans="1:45" s="132" customFormat="1" ht="17.25" customHeight="1" x14ac:dyDescent="0.15">
      <c r="A18" s="78"/>
      <c r="B18" s="79"/>
      <c r="C18" s="131"/>
      <c r="D18" s="87"/>
      <c r="E18" s="82" t="s">
        <v>93</v>
      </c>
      <c r="F18" s="82"/>
      <c r="G18" s="82"/>
      <c r="H18" s="82"/>
      <c r="I18" s="82"/>
      <c r="J18" s="82"/>
      <c r="K18" s="82"/>
      <c r="L18" s="82"/>
      <c r="M18" s="82"/>
      <c r="N18" s="82"/>
      <c r="O18" s="83"/>
      <c r="P18" s="84"/>
      <c r="Q18" s="84"/>
      <c r="R18" s="84"/>
      <c r="S18" s="84"/>
      <c r="T18" s="84"/>
      <c r="U18" s="84"/>
      <c r="V18" s="84"/>
      <c r="W18" s="84"/>
      <c r="X18" s="85"/>
      <c r="Y18" s="48"/>
      <c r="Z18" s="16"/>
      <c r="AA18" s="16"/>
    </row>
    <row r="19" spans="1:45" s="51" customFormat="1" ht="17.25" customHeight="1" x14ac:dyDescent="0.15">
      <c r="A19" s="78"/>
      <c r="B19" s="79"/>
      <c r="C19" s="86"/>
      <c r="D19" s="87"/>
      <c r="E19" s="97" t="s">
        <v>94</v>
      </c>
      <c r="F19" s="82"/>
      <c r="G19" s="88"/>
      <c r="H19" s="89"/>
      <c r="I19" s="88"/>
      <c r="J19" s="88"/>
      <c r="K19" s="88"/>
      <c r="L19" s="88"/>
      <c r="M19" s="88"/>
      <c r="N19" s="88"/>
      <c r="O19" s="90"/>
      <c r="P19" s="91"/>
      <c r="Q19" s="91"/>
      <c r="R19" s="91"/>
      <c r="S19" s="91"/>
      <c r="T19" s="91"/>
      <c r="U19" s="91"/>
      <c r="V19" s="91"/>
      <c r="W19" s="91"/>
      <c r="X19" s="92"/>
      <c r="Y19" s="49"/>
      <c r="Z19" s="17"/>
      <c r="AA19" s="17"/>
    </row>
    <row r="20" spans="1:45" s="104" customFormat="1" ht="27" customHeight="1" x14ac:dyDescent="0.15">
      <c r="A20" s="93"/>
      <c r="B20" s="94"/>
      <c r="C20" s="95"/>
      <c r="D20" s="96"/>
      <c r="E20" s="148"/>
      <c r="F20" s="97"/>
      <c r="G20" s="98"/>
      <c r="H20" s="99"/>
      <c r="I20" s="98"/>
      <c r="J20" s="98"/>
      <c r="K20" s="98"/>
      <c r="L20" s="98"/>
      <c r="M20" s="98"/>
      <c r="N20" s="98"/>
      <c r="O20" s="100"/>
      <c r="P20" s="101"/>
      <c r="Q20" s="101"/>
      <c r="R20" s="101"/>
      <c r="S20" s="101"/>
      <c r="T20" s="101"/>
      <c r="U20" s="101"/>
      <c r="V20" s="101"/>
      <c r="W20" s="101"/>
      <c r="X20" s="102"/>
      <c r="Y20" s="118"/>
      <c r="Z20" s="103"/>
      <c r="AA20" s="103"/>
    </row>
    <row r="21" spans="1:45" s="51" customFormat="1" ht="26.25" customHeight="1" thickBot="1" x14ac:dyDescent="0.2">
      <c r="A21" s="213" t="s">
        <v>83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5"/>
      <c r="Y21" s="62"/>
      <c r="Z21" s="62"/>
      <c r="AA21" s="62"/>
    </row>
    <row r="22" spans="1:45" ht="14.25" customHeight="1" thickBot="1" x14ac:dyDescent="0.2">
      <c r="A22" s="53"/>
      <c r="B22" s="54"/>
      <c r="C22" s="216" t="s">
        <v>64</v>
      </c>
      <c r="D22" s="216"/>
      <c r="E22" s="216"/>
      <c r="F22" s="216" t="s">
        <v>87</v>
      </c>
      <c r="G22" s="216"/>
      <c r="H22" s="216"/>
      <c r="I22" s="217" t="s">
        <v>65</v>
      </c>
      <c r="J22" s="217"/>
      <c r="K22" s="217"/>
      <c r="L22" s="217"/>
      <c r="M22" s="217"/>
      <c r="N22" s="217" t="s">
        <v>66</v>
      </c>
      <c r="O22" s="217"/>
      <c r="P22" s="217"/>
      <c r="Q22" s="217"/>
      <c r="R22" s="217"/>
      <c r="S22" s="216" t="s">
        <v>70</v>
      </c>
      <c r="T22" s="216"/>
      <c r="U22" s="216"/>
      <c r="V22" s="216"/>
      <c r="W22" s="216"/>
      <c r="X22" s="310" t="s">
        <v>105</v>
      </c>
      <c r="Y22" s="45"/>
      <c r="Z22" s="45"/>
      <c r="AA22" s="45"/>
      <c r="AB22" s="45"/>
    </row>
    <row r="23" spans="1:45" ht="13.5" customHeight="1" thickBot="1" x14ac:dyDescent="0.2">
      <c r="A23" s="53"/>
      <c r="B23" s="54"/>
      <c r="C23" s="216"/>
      <c r="D23" s="216"/>
      <c r="E23" s="216"/>
      <c r="F23" s="216"/>
      <c r="G23" s="216"/>
      <c r="H23" s="216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6"/>
      <c r="T23" s="216"/>
      <c r="U23" s="216"/>
      <c r="V23" s="216"/>
      <c r="W23" s="216"/>
      <c r="X23" s="311"/>
      <c r="Y23" s="45"/>
      <c r="Z23" s="45"/>
      <c r="AA23" s="45"/>
      <c r="AB23" s="45"/>
    </row>
    <row r="24" spans="1:45" ht="13.5" customHeight="1" thickBot="1" x14ac:dyDescent="0.2">
      <c r="A24" s="53"/>
      <c r="B24" s="54"/>
      <c r="C24" s="218" t="s">
        <v>101</v>
      </c>
      <c r="D24" s="218"/>
      <c r="E24" s="218"/>
      <c r="F24" s="219" t="s">
        <v>114</v>
      </c>
      <c r="G24" s="219"/>
      <c r="H24" s="219"/>
      <c r="I24" s="220" t="s">
        <v>119</v>
      </c>
      <c r="J24" s="220"/>
      <c r="K24" s="220"/>
      <c r="L24" s="220"/>
      <c r="M24" s="220"/>
      <c r="N24" s="220" t="s">
        <v>119</v>
      </c>
      <c r="O24" s="220"/>
      <c r="P24" s="220"/>
      <c r="Q24" s="220"/>
      <c r="R24" s="220"/>
      <c r="S24" s="221" t="s">
        <v>85</v>
      </c>
      <c r="T24" s="222"/>
      <c r="U24" s="222"/>
      <c r="V24" s="222"/>
      <c r="W24" s="222"/>
      <c r="X24" s="311"/>
      <c r="Y24" s="46"/>
      <c r="Z24" s="46"/>
      <c r="AA24" s="46"/>
      <c r="AB24" s="46"/>
      <c r="AE24" t="s">
        <v>59</v>
      </c>
      <c r="AF24" s="44"/>
      <c r="AP24" t="s">
        <v>4</v>
      </c>
    </row>
    <row r="25" spans="1:45" ht="27" customHeight="1" thickBot="1" x14ac:dyDescent="0.2">
      <c r="A25" s="53"/>
      <c r="B25" s="54"/>
      <c r="C25" s="218"/>
      <c r="D25" s="218"/>
      <c r="E25" s="218"/>
      <c r="F25" s="219"/>
      <c r="G25" s="219"/>
      <c r="H25" s="219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2"/>
      <c r="T25" s="222"/>
      <c r="U25" s="222"/>
      <c r="V25" s="222"/>
      <c r="W25" s="222"/>
      <c r="X25" s="311"/>
      <c r="Y25" s="46"/>
      <c r="Z25" s="46"/>
      <c r="AA25" s="46"/>
      <c r="AB25" s="46"/>
      <c r="AC25" s="135" t="s">
        <v>17</v>
      </c>
      <c r="AD25" s="136" t="s">
        <v>106</v>
      </c>
      <c r="AE25" s="2"/>
      <c r="AF25" s="6" t="s">
        <v>17</v>
      </c>
      <c r="AG25" s="130" t="s">
        <v>89</v>
      </c>
      <c r="AH25" s="37" t="s">
        <v>53</v>
      </c>
      <c r="AI25" s="29" t="s">
        <v>18</v>
      </c>
      <c r="AJ25" s="38" t="s">
        <v>55</v>
      </c>
      <c r="AK25" s="36" t="s">
        <v>52</v>
      </c>
      <c r="AL25" s="39" t="s">
        <v>56</v>
      </c>
      <c r="AM25" s="52" t="s">
        <v>77</v>
      </c>
      <c r="AN25" s="33" t="s">
        <v>78</v>
      </c>
      <c r="AO25" s="33" t="s">
        <v>88</v>
      </c>
      <c r="AQ25" s="2"/>
      <c r="AR25" s="33" t="s">
        <v>78</v>
      </c>
      <c r="AS25" s="3" t="s">
        <v>21</v>
      </c>
    </row>
    <row r="26" spans="1:45" ht="16.5" customHeight="1" thickBot="1" x14ac:dyDescent="0.2">
      <c r="A26" s="53"/>
      <c r="B26" s="54"/>
      <c r="C26" s="223" t="s">
        <v>49</v>
      </c>
      <c r="D26" s="223"/>
      <c r="E26" s="223"/>
      <c r="F26" s="224"/>
      <c r="G26" s="224"/>
      <c r="H26" s="225" t="s">
        <v>24</v>
      </c>
      <c r="I26" s="226"/>
      <c r="J26" s="226"/>
      <c r="K26" s="226"/>
      <c r="L26" s="226"/>
      <c r="M26" s="227" t="s">
        <v>0</v>
      </c>
      <c r="N26" s="226"/>
      <c r="O26" s="228"/>
      <c r="P26" s="228"/>
      <c r="Q26" s="228"/>
      <c r="R26" s="227" t="s">
        <v>0</v>
      </c>
      <c r="S26" s="226"/>
      <c r="T26" s="228"/>
      <c r="U26" s="228"/>
      <c r="V26" s="228"/>
      <c r="W26" s="227" t="s">
        <v>0</v>
      </c>
      <c r="X26" s="312"/>
      <c r="Y26" s="247"/>
      <c r="Z26" s="247"/>
      <c r="AA26" s="247"/>
      <c r="AB26" s="47"/>
      <c r="AC26" s="138">
        <f>IF(I26&lt;=550999,0,IF(I26&lt;=1618999,I26-550000,IF(I26&lt;=1619999,1069000,IF(I26&lt;=1621999,1070000,IF(I26&lt;=1623999,1072000,IF(I26&lt;=1627999,1074000,IF(I26&lt;=1799999,ROUNDDOWN(I26/4,-3)*4*0.6+100000,(IF(I26&lt;=3599999,ROUNDDOWN(I26/4,-3)*4*0.7-80000,IF(I26&lt;=6599999,ROUNDDOWN(I26/4,-3)*4*0.8-440000,IF(I26&lt;=8499999,I26*0.9-1100000,I26-1950000)))))))))))</f>
        <v>0</v>
      </c>
      <c r="AD26" s="141">
        <f>AC26*0.3</f>
        <v>0</v>
      </c>
      <c r="AE26" s="240" t="s">
        <v>5</v>
      </c>
      <c r="AF26" s="144">
        <f>IF(X26=1,AD26,AC26)</f>
        <v>0</v>
      </c>
      <c r="AG26" s="8">
        <f>IF(AF26&lt;=0,0,IF(AJ26&lt;=0,0,(IF(AF26&lt;=100000,AF26,100000))))</f>
        <v>0</v>
      </c>
      <c r="AH26" s="231">
        <f>AF26-AF27</f>
        <v>0</v>
      </c>
      <c r="AI26" s="8">
        <f>IF(N26&lt;=600000,0,IF(N26&lt;=1299999,N26-600000,IF(N26&lt;=4099999,N26*0.75-275000,IF(N26&lt;=7699999,N26*0.85-685000,IF(N26&lt;=9999999,N26*0.95-1455000, IF(N26&gt;=10000000,N26-1955000))))))</f>
        <v>0</v>
      </c>
      <c r="AJ26" s="129">
        <f>IF(F26&lt;=64,AI26,AI27)</f>
        <v>0</v>
      </c>
      <c r="AK26" s="246">
        <f>S26</f>
        <v>0</v>
      </c>
      <c r="AL26" s="129">
        <f>AH26+AJ26+AK26</f>
        <v>0</v>
      </c>
      <c r="AM26" s="244">
        <f>IF(AL26&lt;=24000000, 430000, IF(AL26&lt;=24500000, 290000, IF(AL26&lt;=25000000, 150000, 0)))</f>
        <v>430000</v>
      </c>
      <c r="AN26" s="233" t="str">
        <f>IF((AL26-AM26)&lt;0,"",(AL26-AM26))</f>
        <v/>
      </c>
      <c r="AO26" s="246">
        <f>IF(I26&gt;=550001,1,IF(AND(F26&gt;=60,F26&lt;=64,N26&gt;=600001),1,IF(AND(F26&gt;=65,N26&gt;=1250001),1,0)))</f>
        <v>0</v>
      </c>
      <c r="AQ26" s="229" t="s">
        <v>5</v>
      </c>
      <c r="AR26" s="231" t="str">
        <f>IF(AND(F26&gt;=40,F26&lt;=64),(AN26),"")</f>
        <v/>
      </c>
      <c r="AS26" s="237">
        <f>IF(F26&lt;40,0,IF(F26&lt;=64,1,IF(F26&gt;65,0,)))</f>
        <v>0</v>
      </c>
    </row>
    <row r="27" spans="1:45" ht="16.5" customHeight="1" thickBot="1" x14ac:dyDescent="0.2">
      <c r="A27" s="53"/>
      <c r="B27" s="54"/>
      <c r="C27" s="238" t="s">
        <v>84</v>
      </c>
      <c r="D27" s="238"/>
      <c r="E27" s="238"/>
      <c r="F27" s="224"/>
      <c r="G27" s="224"/>
      <c r="H27" s="225"/>
      <c r="I27" s="226"/>
      <c r="J27" s="226"/>
      <c r="K27" s="226"/>
      <c r="L27" s="226"/>
      <c r="M27" s="227"/>
      <c r="N27" s="228"/>
      <c r="O27" s="228"/>
      <c r="P27" s="228"/>
      <c r="Q27" s="228"/>
      <c r="R27" s="227"/>
      <c r="S27" s="228"/>
      <c r="T27" s="228"/>
      <c r="U27" s="228"/>
      <c r="V27" s="228"/>
      <c r="W27" s="227"/>
      <c r="X27" s="313"/>
      <c r="Y27" s="248"/>
      <c r="Z27" s="309"/>
      <c r="AA27" s="309"/>
      <c r="AB27" s="47"/>
      <c r="AC27" s="139">
        <f>IF((AG26+AG27-100000)&lt;=0, 0, (AG26+AG27-100000))</f>
        <v>0</v>
      </c>
      <c r="AD27" s="140">
        <f>AC27</f>
        <v>0</v>
      </c>
      <c r="AE27" s="241"/>
      <c r="AF27" s="145">
        <f>IF(X27=1,AD27,AC27)</f>
        <v>0</v>
      </c>
      <c r="AG27" s="126">
        <f>IF(AF26&lt;=0,0,IF(AJ26&lt;=0,0,(IF(AJ26&lt;=100000,AJ26,100000))))</f>
        <v>0</v>
      </c>
      <c r="AH27" s="232"/>
      <c r="AI27" s="126">
        <f>IF(N26&lt;=1100000,0,IF(N26&lt;=3299999,N26-1100000,IF(N26&lt;=4099999,N26*0.75-275000,IF(N26&lt;=7699999,N26*0.85-685000,IF(N26&lt;=9999999,N26*0.95-1455000, IF(N26&gt;=10000000,N26-1955000))))))</f>
        <v>0</v>
      </c>
      <c r="AJ27" s="35">
        <f>IF(F26&lt;=64,AI26,IF(AI27-150000&lt;=0,0,AI27-150000))</f>
        <v>0</v>
      </c>
      <c r="AK27" s="246"/>
      <c r="AL27" s="35">
        <f>AH26+AJ27+AK26</f>
        <v>0</v>
      </c>
      <c r="AM27" s="245"/>
      <c r="AN27" s="234"/>
      <c r="AO27" s="246"/>
      <c r="AQ27" s="230"/>
      <c r="AR27" s="232"/>
      <c r="AS27" s="237"/>
    </row>
    <row r="28" spans="1:45" ht="16.5" customHeight="1" thickBot="1" x14ac:dyDescent="0.2">
      <c r="A28" s="53"/>
      <c r="B28" s="54"/>
      <c r="C28" s="239" t="s">
        <v>43</v>
      </c>
      <c r="D28" s="239"/>
      <c r="E28" s="239"/>
      <c r="F28" s="224"/>
      <c r="G28" s="224"/>
      <c r="H28" s="225" t="s">
        <v>24</v>
      </c>
      <c r="I28" s="226"/>
      <c r="J28" s="226"/>
      <c r="K28" s="226"/>
      <c r="L28" s="226"/>
      <c r="M28" s="227" t="s">
        <v>0</v>
      </c>
      <c r="N28" s="226"/>
      <c r="O28" s="228"/>
      <c r="P28" s="228"/>
      <c r="Q28" s="228"/>
      <c r="R28" s="227" t="s">
        <v>0</v>
      </c>
      <c r="S28" s="226"/>
      <c r="T28" s="228"/>
      <c r="U28" s="228"/>
      <c r="V28" s="228"/>
      <c r="W28" s="227" t="s">
        <v>0</v>
      </c>
      <c r="X28" s="312"/>
      <c r="Y28" s="247"/>
      <c r="Z28" s="247"/>
      <c r="AA28" s="247"/>
      <c r="AB28" s="47"/>
      <c r="AC28" s="138">
        <f>IF(I28&lt;=550999,0,IF(I28&lt;=1618999,I28-550000,IF(I28&lt;=1619999,1069000,IF(I28&lt;=1621999,1070000,IF(I28&lt;=1623999,1072000,IF(I28&lt;=1627999,1074000,IF(I28&lt;=1799999,ROUNDDOWN(I28/4,-3)*4*0.6+100000,(IF(I28&lt;=3599999,ROUNDDOWN(I28/4,-3)*4*0.7-80000,IF(I28&lt;=6599999,ROUNDDOWN(I28/4,-3)*4*0.8-440000,IF(I28&lt;=8499999,I28*0.9-1100000,I28-1950000)))))))))))</f>
        <v>0</v>
      </c>
      <c r="AD28" s="142">
        <f>AC28*0.3</f>
        <v>0</v>
      </c>
      <c r="AE28" s="240" t="s">
        <v>6</v>
      </c>
      <c r="AF28" s="144">
        <f>IF(X28=1,AD28,AC28)</f>
        <v>0</v>
      </c>
      <c r="AG28" s="8">
        <f>IF(AF28&lt;=0,0,IF(AJ28&lt;=0,0,(IF(AF28&lt;=100000,AF28,100000))))</f>
        <v>0</v>
      </c>
      <c r="AH28" s="231">
        <f>AF28-AF29</f>
        <v>0</v>
      </c>
      <c r="AI28" s="8">
        <f>IF(N28&lt;=600000,0,IF(N28&lt;=1299999,N28-600000,IF(N28&lt;=4099999,N28*0.75-275000,IF(N28&lt;=7699999,N28*0.85-685000,IF(N28&lt;=9999999,N28*0.95-1455000, IF(N28&gt;=10000000,N28-1955000))))))</f>
        <v>0</v>
      </c>
      <c r="AJ28" s="129">
        <f>IF(F28&lt;=64,AI28,AI29)</f>
        <v>0</v>
      </c>
      <c r="AK28" s="246">
        <f>S28</f>
        <v>0</v>
      </c>
      <c r="AL28" s="129">
        <f>AH28+AJ28+AK28</f>
        <v>0</v>
      </c>
      <c r="AM28" s="244">
        <f>IF(AL28&lt;=24000000, 430000, IF(AL28&lt;=24500000, 290000, IF(AL28&lt;=25000000, 150000, 0)))</f>
        <v>430000</v>
      </c>
      <c r="AN28" s="233" t="str">
        <f>IF((AL28-AM28)&lt;0,"",(AL28-AM28))</f>
        <v/>
      </c>
      <c r="AO28" s="246">
        <f t="shared" ref="AO28" si="0">IF(I28&gt;=550001,1,IF(AND(F28&gt;=60,F28&lt;=64,N28&gt;=600001),1,IF(AND(F28&gt;=65,N28&gt;=1250001),1,0)))</f>
        <v>0</v>
      </c>
      <c r="AQ28" s="229" t="s">
        <v>6</v>
      </c>
      <c r="AR28" s="231" t="str">
        <f>IF(AND(F28&gt;=40,F28&lt;=64),(AN28),"")</f>
        <v/>
      </c>
      <c r="AS28" s="237">
        <f>IF(F28&lt;40,0,IF(F28&lt;=64,1,IF(F28&gt;65,0,)))</f>
        <v>0</v>
      </c>
    </row>
    <row r="29" spans="1:45" ht="16.5" customHeight="1" thickBot="1" x14ac:dyDescent="0.2">
      <c r="A29" s="53"/>
      <c r="B29" s="54"/>
      <c r="C29" s="239"/>
      <c r="D29" s="239"/>
      <c r="E29" s="239"/>
      <c r="F29" s="224"/>
      <c r="G29" s="224"/>
      <c r="H29" s="225"/>
      <c r="I29" s="226"/>
      <c r="J29" s="226"/>
      <c r="K29" s="226"/>
      <c r="L29" s="226"/>
      <c r="M29" s="227"/>
      <c r="N29" s="228"/>
      <c r="O29" s="228"/>
      <c r="P29" s="228"/>
      <c r="Q29" s="228"/>
      <c r="R29" s="227"/>
      <c r="S29" s="228"/>
      <c r="T29" s="228"/>
      <c r="U29" s="228"/>
      <c r="V29" s="228"/>
      <c r="W29" s="227"/>
      <c r="X29" s="313"/>
      <c r="Y29" s="248"/>
      <c r="Z29" s="309"/>
      <c r="AA29" s="309"/>
      <c r="AB29" s="47"/>
      <c r="AC29" s="139">
        <f>IF((AG28+AG29-100000)&lt;=0, 0, (AG28+AG29-100000))</f>
        <v>0</v>
      </c>
      <c r="AD29" s="140">
        <f>AC29</f>
        <v>0</v>
      </c>
      <c r="AE29" s="241"/>
      <c r="AF29" s="145">
        <f t="shared" ref="AF29:AF39" si="1">IF(X29=1,AD29,AC29)</f>
        <v>0</v>
      </c>
      <c r="AG29" s="126">
        <f>IF(AF28&lt;=0,0,IF(AJ28&lt;=0,0,(IF(AJ28&lt;=100000,AJ28,100000))))</f>
        <v>0</v>
      </c>
      <c r="AH29" s="232"/>
      <c r="AI29" s="126">
        <f>IF(N28&lt;=1100000,0,IF(N28&lt;=3299999,N28-1100000,IF(N28&lt;=4099999,N28*0.75-275000,IF(N28&lt;=7699999,N28*0.85-685000,IF(N28&lt;=9999999,N28*0.95-1455000, IF(N28&gt;=10000000,N28-1955000))))))</f>
        <v>0</v>
      </c>
      <c r="AJ29" s="35">
        <f>IF(F28&lt;=64,AI28,IF(AI29-150000&lt;=0,0,AI29-150000))</f>
        <v>0</v>
      </c>
      <c r="AK29" s="246"/>
      <c r="AL29" s="35">
        <f>AH28+AJ29+AK28</f>
        <v>0</v>
      </c>
      <c r="AM29" s="245"/>
      <c r="AN29" s="234"/>
      <c r="AO29" s="246"/>
      <c r="AQ29" s="230"/>
      <c r="AR29" s="232"/>
      <c r="AS29" s="237"/>
    </row>
    <row r="30" spans="1:45" ht="16.5" customHeight="1" thickBot="1" x14ac:dyDescent="0.2">
      <c r="A30" s="53"/>
      <c r="B30" s="54"/>
      <c r="C30" s="239" t="s">
        <v>44</v>
      </c>
      <c r="D30" s="239"/>
      <c r="E30" s="239"/>
      <c r="F30" s="224"/>
      <c r="G30" s="224"/>
      <c r="H30" s="225" t="s">
        <v>24</v>
      </c>
      <c r="I30" s="226"/>
      <c r="J30" s="226"/>
      <c r="K30" s="226"/>
      <c r="L30" s="226"/>
      <c r="M30" s="227" t="s">
        <v>0</v>
      </c>
      <c r="N30" s="226"/>
      <c r="O30" s="228"/>
      <c r="P30" s="228"/>
      <c r="Q30" s="228"/>
      <c r="R30" s="227" t="s">
        <v>0</v>
      </c>
      <c r="S30" s="226"/>
      <c r="T30" s="228"/>
      <c r="U30" s="228"/>
      <c r="V30" s="228"/>
      <c r="W30" s="227" t="s">
        <v>0</v>
      </c>
      <c r="X30" s="312"/>
      <c r="Y30" s="247"/>
      <c r="Z30" s="247"/>
      <c r="AA30" s="247"/>
      <c r="AB30" s="47"/>
      <c r="AC30" s="138">
        <f>IF(I30&lt;=550999,0,IF(I30&lt;=1618999,I30-550000,IF(I30&lt;=1619999,1069000,IF(I30&lt;=1621999,1070000,IF(I30&lt;=1623999,1072000,IF(I30&lt;=1627999,1074000,IF(I30&lt;=1799999,ROUNDDOWN(I30/4,-3)*4*0.6+100000,(IF(I30&lt;=3599999,ROUNDDOWN(I30/4,-3)*4*0.7-80000,IF(I30&lt;=6599999,ROUNDDOWN(I30/4,-3)*4*0.8-440000,IF(I30&lt;=8499999,I30*0.9-1100000,I30-1950000)))))))))))</f>
        <v>0</v>
      </c>
      <c r="AD30" s="142">
        <f>AC30*0.3</f>
        <v>0</v>
      </c>
      <c r="AE30" s="240" t="s">
        <v>7</v>
      </c>
      <c r="AF30" s="144">
        <f t="shared" si="1"/>
        <v>0</v>
      </c>
      <c r="AG30" s="8">
        <f>IF(AF30&lt;=0,0,IF(AJ30&lt;=0,0,(IF(AF30&lt;=100000,AF30,100000))))</f>
        <v>0</v>
      </c>
      <c r="AH30" s="231">
        <f>AF30-AF31</f>
        <v>0</v>
      </c>
      <c r="AI30" s="8">
        <f>IF(N30&lt;=600000,0,IF(N30&lt;=1299999,N30-600000,IF(N30&lt;=4099999,N30*0.75-275000,IF(N30&lt;=7699999,N30*0.85-685000,IF(N30&lt;=9999999,N30*0.95-1455000, IF(N30&gt;=10000000,N30-1955000))))))</f>
        <v>0</v>
      </c>
      <c r="AJ30" s="129">
        <f>IF(F30&lt;=64,AI30,AI31)</f>
        <v>0</v>
      </c>
      <c r="AK30" s="246">
        <f>S30</f>
        <v>0</v>
      </c>
      <c r="AL30" s="129">
        <f>AH30+AJ30+AK30</f>
        <v>0</v>
      </c>
      <c r="AM30" s="244">
        <f>IF(AL30&lt;=24000000, 430000, IF(AL30&lt;=24500000, 290000, IF(AL30&lt;=25000000, 150000, 0)))</f>
        <v>430000</v>
      </c>
      <c r="AN30" s="233" t="str">
        <f>IF((AL30-AM30)&lt;0,"",(AL30-AM30))</f>
        <v/>
      </c>
      <c r="AO30" s="246">
        <f t="shared" ref="AO30" si="2">IF(I30&gt;=550001,1,IF(AND(F30&gt;=60,F30&lt;=64,N30&gt;=600001),1,IF(AND(F30&gt;=65,N30&gt;=1250001),1,0)))</f>
        <v>0</v>
      </c>
      <c r="AQ30" s="229" t="s">
        <v>7</v>
      </c>
      <c r="AR30" s="231" t="str">
        <f>IF(AND(F30&gt;=40,F30&lt;=64),(AN30),"")</f>
        <v/>
      </c>
      <c r="AS30" s="237">
        <f>IF(F30&lt;40,0,IF(F30&lt;=64,1,IF(F30&gt;65,0,)))</f>
        <v>0</v>
      </c>
    </row>
    <row r="31" spans="1:45" ht="16.5" customHeight="1" thickBot="1" x14ac:dyDescent="0.2">
      <c r="A31" s="53"/>
      <c r="B31" s="54"/>
      <c r="C31" s="239"/>
      <c r="D31" s="239"/>
      <c r="E31" s="239"/>
      <c r="F31" s="224"/>
      <c r="G31" s="224"/>
      <c r="H31" s="225"/>
      <c r="I31" s="226"/>
      <c r="J31" s="226"/>
      <c r="K31" s="226"/>
      <c r="L31" s="226"/>
      <c r="M31" s="227"/>
      <c r="N31" s="228"/>
      <c r="O31" s="228"/>
      <c r="P31" s="228"/>
      <c r="Q31" s="228"/>
      <c r="R31" s="227"/>
      <c r="S31" s="228"/>
      <c r="T31" s="228"/>
      <c r="U31" s="228"/>
      <c r="V31" s="228"/>
      <c r="W31" s="227"/>
      <c r="X31" s="313"/>
      <c r="Y31" s="248"/>
      <c r="Z31" s="309"/>
      <c r="AA31" s="309"/>
      <c r="AB31" s="47"/>
      <c r="AC31" s="139">
        <f>IF((AG30+AG31-100000)&lt;=0, 0, (AG30+AG31-100000))</f>
        <v>0</v>
      </c>
      <c r="AD31" s="140">
        <f>AC31</f>
        <v>0</v>
      </c>
      <c r="AE31" s="241"/>
      <c r="AF31" s="145">
        <f t="shared" si="1"/>
        <v>0</v>
      </c>
      <c r="AG31" s="126">
        <f>IF(AF30&lt;=0,0,IF(AJ30&lt;=0,0,(IF(AJ30&lt;=100000,AJ30,100000))))</f>
        <v>0</v>
      </c>
      <c r="AH31" s="232"/>
      <c r="AI31" s="126">
        <f>IF(N30&lt;=1100000,0,IF(N30&lt;=3299999,N30-1100000,IF(N30&lt;=4099999,N30*0.75-275000,IF(N30&lt;=7699999,N30*0.85-685000,IF(N30&lt;=9999999,N30*0.95-1455000, IF(N30&gt;=10000000,N30-1955000))))))</f>
        <v>0</v>
      </c>
      <c r="AJ31" s="35">
        <f>IF(F30&lt;=64,AI30,IF(AI31-150000&lt;=0,0,AI31-150000))</f>
        <v>0</v>
      </c>
      <c r="AK31" s="246"/>
      <c r="AL31" s="35">
        <f>AH30+AJ31+AK30</f>
        <v>0</v>
      </c>
      <c r="AM31" s="245"/>
      <c r="AN31" s="234"/>
      <c r="AO31" s="246"/>
      <c r="AQ31" s="230"/>
      <c r="AR31" s="232"/>
      <c r="AS31" s="237"/>
    </row>
    <row r="32" spans="1:45" ht="16.5" customHeight="1" thickBot="1" x14ac:dyDescent="0.2">
      <c r="A32" s="53"/>
      <c r="B32" s="54"/>
      <c r="C32" s="239" t="s">
        <v>45</v>
      </c>
      <c r="D32" s="239"/>
      <c r="E32" s="239"/>
      <c r="F32" s="224"/>
      <c r="G32" s="224"/>
      <c r="H32" s="225" t="s">
        <v>24</v>
      </c>
      <c r="I32" s="226"/>
      <c r="J32" s="226"/>
      <c r="K32" s="226"/>
      <c r="L32" s="226"/>
      <c r="M32" s="227" t="s">
        <v>0</v>
      </c>
      <c r="N32" s="226"/>
      <c r="O32" s="228"/>
      <c r="P32" s="228"/>
      <c r="Q32" s="228"/>
      <c r="R32" s="227" t="s">
        <v>0</v>
      </c>
      <c r="S32" s="226"/>
      <c r="T32" s="228"/>
      <c r="U32" s="228"/>
      <c r="V32" s="228"/>
      <c r="W32" s="227" t="s">
        <v>0</v>
      </c>
      <c r="X32" s="312"/>
      <c r="Y32" s="247"/>
      <c r="Z32" s="247"/>
      <c r="AA32" s="247"/>
      <c r="AB32" s="47"/>
      <c r="AC32" s="138">
        <f>IF(I32&lt;=550999,0,IF(I32&lt;=1618999,I32-550000,IF(I32&lt;=1619999,1069000,IF(I32&lt;=1621999,1070000,IF(I32&lt;=1623999,1072000,IF(I32&lt;=1627999,1074000,IF(I32&lt;=1799999,ROUNDDOWN(I32/4,-3)*4*0.6+100000,(IF(I32&lt;=3599999,ROUNDDOWN(I32/4,-3)*4*0.7-80000,IF(I32&lt;=6599999,ROUNDDOWN(I32/4,-3)*4*0.8-440000,IF(I32&lt;=8499999,I32*0.9-1100000,I32-1950000)))))))))))</f>
        <v>0</v>
      </c>
      <c r="AD32" s="142">
        <f>AC32*0.3</f>
        <v>0</v>
      </c>
      <c r="AE32" s="240" t="s">
        <v>8</v>
      </c>
      <c r="AF32" s="144">
        <f t="shared" si="1"/>
        <v>0</v>
      </c>
      <c r="AG32" s="8">
        <f>IF(AF32&lt;=0,0,IF(AJ32&lt;=0,0,(IF(AF32&lt;=100000,AF32,100000))))</f>
        <v>0</v>
      </c>
      <c r="AH32" s="231">
        <f>AF32-AF33</f>
        <v>0</v>
      </c>
      <c r="AI32" s="8">
        <f>IF(N32&lt;=600000,0,IF(N32&lt;=1299999,N32-600000,IF(N32&lt;=4099999,N32*0.75-275000,IF(N32&lt;=7699999,N32*0.85-685000,IF(N32&lt;=9999999,N32*0.95-1455000, IF(N32&gt;=10000000,N32-1955000))))))</f>
        <v>0</v>
      </c>
      <c r="AJ32" s="129">
        <f>IF(F32&lt;=64,AI32,AI33)</f>
        <v>0</v>
      </c>
      <c r="AK32" s="246">
        <f>S32</f>
        <v>0</v>
      </c>
      <c r="AL32" s="129">
        <f>AH32+AJ32+AK32</f>
        <v>0</v>
      </c>
      <c r="AM32" s="244">
        <f>IF(AL32&lt;=24000000, 430000, IF(AL32&lt;=24500000, 290000, IF(AL32&lt;=25000000, 150000, 0)))</f>
        <v>430000</v>
      </c>
      <c r="AN32" s="233" t="str">
        <f>IF((AL32-AM32)&lt;0,"",(AL32-AM32))</f>
        <v/>
      </c>
      <c r="AO32" s="246">
        <f t="shared" ref="AO32" si="3">IF(I32&gt;=550001,1,IF(AND(F32&gt;=60,F32&lt;=64,N32&gt;=600001),1,IF(AND(F32&gt;=65,N32&gt;=1250001),1,0)))</f>
        <v>0</v>
      </c>
      <c r="AQ32" s="229" t="s">
        <v>8</v>
      </c>
      <c r="AR32" s="231" t="str">
        <f>IF(AND(F32&gt;=40,F32&lt;=64),(AN32),"")</f>
        <v/>
      </c>
      <c r="AS32" s="237">
        <f>IF(F32&lt;40,0,IF(F32&lt;=64,1,IF(F32&gt;65,0,)))</f>
        <v>0</v>
      </c>
    </row>
    <row r="33" spans="1:45" ht="16.5" customHeight="1" thickBot="1" x14ac:dyDescent="0.2">
      <c r="A33" s="53"/>
      <c r="B33" s="54"/>
      <c r="C33" s="239"/>
      <c r="D33" s="239"/>
      <c r="E33" s="239"/>
      <c r="F33" s="224"/>
      <c r="G33" s="224"/>
      <c r="H33" s="225"/>
      <c r="I33" s="226"/>
      <c r="J33" s="226"/>
      <c r="K33" s="226"/>
      <c r="L33" s="226"/>
      <c r="M33" s="227"/>
      <c r="N33" s="228"/>
      <c r="O33" s="228"/>
      <c r="P33" s="228"/>
      <c r="Q33" s="228"/>
      <c r="R33" s="227"/>
      <c r="S33" s="228"/>
      <c r="T33" s="228"/>
      <c r="U33" s="228"/>
      <c r="V33" s="228"/>
      <c r="W33" s="227"/>
      <c r="X33" s="313"/>
      <c r="Y33" s="248"/>
      <c r="Z33" s="309"/>
      <c r="AA33" s="309"/>
      <c r="AB33" s="47"/>
      <c r="AC33" s="139">
        <f>IF((AG32+AG33-100000)&lt;=0, 0, (AG32+AG33-100000))</f>
        <v>0</v>
      </c>
      <c r="AD33" s="140">
        <f>AC33</f>
        <v>0</v>
      </c>
      <c r="AE33" s="241"/>
      <c r="AF33" s="145">
        <f t="shared" si="1"/>
        <v>0</v>
      </c>
      <c r="AG33" s="126">
        <f>IF(AF32&lt;=0,0,IF(AJ32&lt;=0,0,(IF(AJ32&lt;=100000,AJ32,100000))))</f>
        <v>0</v>
      </c>
      <c r="AH33" s="232"/>
      <c r="AI33" s="126">
        <f>IF(N32&lt;=1100000,0,IF(N32&lt;=3299999,N32-1100000,IF(N32&lt;=4099999,N32*0.75-275000,IF(N32&lt;=7699999,N32*0.85-685000,IF(N32&lt;=9999999,N32*0.95-1455000, IF(N32&gt;=10000000,N32-1955000))))))</f>
        <v>0</v>
      </c>
      <c r="AJ33" s="35">
        <f>IF(F32&lt;=64,AI32,IF(AI33-150000&lt;=0,0,AI33-150000))</f>
        <v>0</v>
      </c>
      <c r="AK33" s="246"/>
      <c r="AL33" s="35">
        <f>AH32+AJ33+AK32</f>
        <v>0</v>
      </c>
      <c r="AM33" s="245"/>
      <c r="AN33" s="234"/>
      <c r="AO33" s="246"/>
      <c r="AQ33" s="230"/>
      <c r="AR33" s="232"/>
      <c r="AS33" s="237"/>
    </row>
    <row r="34" spans="1:45" ht="16.5" customHeight="1" thickBot="1" x14ac:dyDescent="0.2">
      <c r="A34" s="53"/>
      <c r="B34" s="54"/>
      <c r="C34" s="239" t="s">
        <v>46</v>
      </c>
      <c r="D34" s="239"/>
      <c r="E34" s="239"/>
      <c r="F34" s="224"/>
      <c r="G34" s="224"/>
      <c r="H34" s="225" t="s">
        <v>24</v>
      </c>
      <c r="I34" s="226"/>
      <c r="J34" s="226"/>
      <c r="K34" s="226"/>
      <c r="L34" s="226"/>
      <c r="M34" s="227" t="s">
        <v>0</v>
      </c>
      <c r="N34" s="226"/>
      <c r="O34" s="228"/>
      <c r="P34" s="228"/>
      <c r="Q34" s="228"/>
      <c r="R34" s="227" t="s">
        <v>0</v>
      </c>
      <c r="S34" s="226"/>
      <c r="T34" s="228"/>
      <c r="U34" s="228"/>
      <c r="V34" s="228"/>
      <c r="W34" s="227" t="s">
        <v>0</v>
      </c>
      <c r="X34" s="312"/>
      <c r="Y34" s="247"/>
      <c r="Z34" s="247"/>
      <c r="AA34" s="247"/>
      <c r="AB34" s="47"/>
      <c r="AC34" s="138">
        <f>IF(I34&lt;=550999,0,IF(I34&lt;=1618999,I34-550000,IF(I34&lt;=1619999,1069000,IF(I34&lt;=1621999,1070000,IF(I34&lt;=1623999,1072000,IF(I34&lt;=1627999,1074000,IF(I34&lt;=1799999,ROUNDDOWN(I34/4,-3)*4*0.6+100000,(IF(I34&lt;=3599999,ROUNDDOWN(I34/4,-3)*4*0.7-80000,IF(I34&lt;=6599999,ROUNDDOWN(I34/4,-3)*4*0.8-440000,IF(I34&lt;=8499999,I34*0.9-1100000,I34-1950000)))))))))))</f>
        <v>0</v>
      </c>
      <c r="AD34" s="142">
        <f>AC34*0.3</f>
        <v>0</v>
      </c>
      <c r="AE34" s="240" t="s">
        <v>9</v>
      </c>
      <c r="AF34" s="144">
        <f t="shared" si="1"/>
        <v>0</v>
      </c>
      <c r="AG34" s="8">
        <f>IF(AF34&lt;=0,0,IF(AJ34&lt;=0,0,(IF(AF34&lt;=100000,AF34,100000))))</f>
        <v>0</v>
      </c>
      <c r="AH34" s="231">
        <f>AF34-AF35</f>
        <v>0</v>
      </c>
      <c r="AI34" s="8">
        <f>IF(N34&lt;=600000,0,IF(N34&lt;=1299999,N34-600000,IF(N34&lt;=4099999,N34*0.75-275000,IF(N34&lt;=7699999,N34*0.85-685000,IF(N34&lt;=9999999,N34*0.95-1455000, IF(N34&gt;=10000000,N34-1955000))))))</f>
        <v>0</v>
      </c>
      <c r="AJ34" s="129">
        <f>IF(F34&lt;=64,AI34,AI35)</f>
        <v>0</v>
      </c>
      <c r="AK34" s="246">
        <f>S34</f>
        <v>0</v>
      </c>
      <c r="AL34" s="129">
        <f>AH34+AJ34+AK34</f>
        <v>0</v>
      </c>
      <c r="AM34" s="244">
        <f>IF(AL34&lt;=24000000, 430000, IF(AL34&lt;=24500000, 290000, IF(AL34&lt;=25000000, 150000, 0)))</f>
        <v>430000</v>
      </c>
      <c r="AN34" s="233" t="str">
        <f>IF((AL34-AM34)&lt;0,"",(AL34-AM34))</f>
        <v/>
      </c>
      <c r="AO34" s="246">
        <f t="shared" ref="AO34" si="4">IF(I34&gt;=550001,1,IF(AND(F34&gt;=60,F34&lt;=64,N34&gt;=600001),1,IF(AND(F34&gt;=65,N34&gt;=1250001),1,0)))</f>
        <v>0</v>
      </c>
      <c r="AQ34" s="229" t="s">
        <v>9</v>
      </c>
      <c r="AR34" s="231" t="str">
        <f>IF(AND(F34&gt;=40,F34&lt;=64),(AN34),"")</f>
        <v/>
      </c>
      <c r="AS34" s="237">
        <f>IF(F34&lt;40,0,IF(F34&lt;=64,1,IF(F34&gt;65,0,)))</f>
        <v>0</v>
      </c>
    </row>
    <row r="35" spans="1:45" ht="16.5" customHeight="1" thickBot="1" x14ac:dyDescent="0.2">
      <c r="A35" s="53"/>
      <c r="B35" s="54"/>
      <c r="C35" s="239"/>
      <c r="D35" s="239"/>
      <c r="E35" s="239"/>
      <c r="F35" s="224"/>
      <c r="G35" s="224"/>
      <c r="H35" s="225"/>
      <c r="I35" s="226"/>
      <c r="J35" s="226"/>
      <c r="K35" s="226"/>
      <c r="L35" s="226"/>
      <c r="M35" s="227"/>
      <c r="N35" s="228"/>
      <c r="O35" s="228"/>
      <c r="P35" s="228"/>
      <c r="Q35" s="228"/>
      <c r="R35" s="227"/>
      <c r="S35" s="228"/>
      <c r="T35" s="228"/>
      <c r="U35" s="228"/>
      <c r="V35" s="228"/>
      <c r="W35" s="227"/>
      <c r="X35" s="313"/>
      <c r="Y35" s="248"/>
      <c r="Z35" s="309"/>
      <c r="AA35" s="309"/>
      <c r="AB35" s="47"/>
      <c r="AC35" s="139">
        <f>IF((AG34+AG35-100000)&lt;=0, 0, (AG34+AG35-100000))</f>
        <v>0</v>
      </c>
      <c r="AD35" s="140">
        <f>AC35</f>
        <v>0</v>
      </c>
      <c r="AE35" s="241"/>
      <c r="AF35" s="145">
        <f t="shared" si="1"/>
        <v>0</v>
      </c>
      <c r="AG35" s="126">
        <f>IF(AF34&lt;=0,0,IF(AJ34&lt;=0,0,(IF(AJ34&lt;=100000,AJ34,100000))))</f>
        <v>0</v>
      </c>
      <c r="AH35" s="232"/>
      <c r="AI35" s="126">
        <f>IF(N34&lt;=1100000,0,IF(N34&lt;=3299999,N34-1100000,IF(N34&lt;=4099999,N34*0.75-275000,IF(N34&lt;=7699999,N34*0.85-685000,IF(N34&lt;=9999999,N34*0.95-1455000, IF(N34&gt;=10000000,N34-1955000))))))</f>
        <v>0</v>
      </c>
      <c r="AJ35" s="35">
        <f>IF(F34&lt;=64,AI34,IF(AI35-150000&lt;=0,0,AI35-150000))</f>
        <v>0</v>
      </c>
      <c r="AK35" s="246"/>
      <c r="AL35" s="35">
        <f>AH34+AJ35+AK34</f>
        <v>0</v>
      </c>
      <c r="AM35" s="245"/>
      <c r="AN35" s="234"/>
      <c r="AO35" s="246"/>
      <c r="AQ35" s="230"/>
      <c r="AR35" s="232"/>
      <c r="AS35" s="237"/>
    </row>
    <row r="36" spans="1:45" ht="16.5" customHeight="1" thickBot="1" x14ac:dyDescent="0.2">
      <c r="A36" s="53"/>
      <c r="B36" s="54"/>
      <c r="C36" s="239" t="s">
        <v>47</v>
      </c>
      <c r="D36" s="239"/>
      <c r="E36" s="239"/>
      <c r="F36" s="224"/>
      <c r="G36" s="224"/>
      <c r="H36" s="225" t="s">
        <v>24</v>
      </c>
      <c r="I36" s="226"/>
      <c r="J36" s="226"/>
      <c r="K36" s="226"/>
      <c r="L36" s="226"/>
      <c r="M36" s="227" t="s">
        <v>0</v>
      </c>
      <c r="N36" s="226"/>
      <c r="O36" s="228"/>
      <c r="P36" s="228"/>
      <c r="Q36" s="228"/>
      <c r="R36" s="227" t="s">
        <v>0</v>
      </c>
      <c r="S36" s="226"/>
      <c r="T36" s="228"/>
      <c r="U36" s="228"/>
      <c r="V36" s="228"/>
      <c r="W36" s="227" t="s">
        <v>0</v>
      </c>
      <c r="X36" s="312"/>
      <c r="Y36" s="247"/>
      <c r="Z36" s="247"/>
      <c r="AA36" s="247"/>
      <c r="AB36" s="47"/>
      <c r="AC36" s="138">
        <f>IF(I36&lt;=550999,0,IF(I36&lt;=1618999,I36-550000,IF(I36&lt;=1619999,1069000,IF(I36&lt;=1621999,1070000,IF(I36&lt;=1623999,1072000,IF(I36&lt;=1627999,1074000,IF(I36&lt;=1799999,ROUNDDOWN(I36/4,-3)*4*0.6+100000,(IF(I36&lt;=3599999,ROUNDDOWN(I36/4,-3)*4*0.7-80000,IF(I36&lt;=6599999,ROUNDDOWN(I36/4,-3)*4*0.8-440000,IF(I36&lt;=8499999,I36*0.9-1100000,I36-1950000)))))))))))</f>
        <v>0</v>
      </c>
      <c r="AD36" s="142">
        <f>AC36*0.3</f>
        <v>0</v>
      </c>
      <c r="AE36" s="240" t="s">
        <v>10</v>
      </c>
      <c r="AF36" s="144">
        <f t="shared" si="1"/>
        <v>0</v>
      </c>
      <c r="AG36" s="8">
        <f>IF(AF36&lt;=0,0,IF(AJ36&lt;=0,0,(IF(AF36&lt;=100000,AF36,100000))))</f>
        <v>0</v>
      </c>
      <c r="AH36" s="231">
        <f>AF36-AF37</f>
        <v>0</v>
      </c>
      <c r="AI36" s="8">
        <f>IF(N36&lt;=600000,0,IF(N36&lt;=1299999,N36-600000,IF(N36&lt;=4099999,N36*0.75-275000,IF(N36&lt;=7699999,N36*0.85-685000,IF(N36&lt;=9999999,N36*0.95-1455000, IF(N36&gt;=10000000,N36-1955000))))))</f>
        <v>0</v>
      </c>
      <c r="AJ36" s="129">
        <f>IF(F36&lt;=64,AI36,AI37)</f>
        <v>0</v>
      </c>
      <c r="AK36" s="246">
        <f>S36</f>
        <v>0</v>
      </c>
      <c r="AL36" s="129">
        <f>AH36+AJ36+AK36</f>
        <v>0</v>
      </c>
      <c r="AM36" s="244">
        <f>IF(AL36&lt;=24000000, 430000, IF(AL36&lt;=24500000, 290000, IF(AL36&lt;=25000000, 150000, 0)))</f>
        <v>430000</v>
      </c>
      <c r="AN36" s="233" t="str">
        <f>IF((AL36-AM36)&lt;0,"",(AL36-AM36))</f>
        <v/>
      </c>
      <c r="AO36" s="246">
        <f t="shared" ref="AO36" si="5">IF(I36&gt;=550001,1,IF(AND(F36&gt;=60,F36&lt;=64,N36&gt;=600001),1,IF(AND(F36&gt;=65,N36&gt;=1250001),1,0)))</f>
        <v>0</v>
      </c>
      <c r="AQ36" s="252" t="s">
        <v>10</v>
      </c>
      <c r="AR36" s="231" t="str">
        <f>IF(AND(F36&gt;=40,F36&lt;=64),(AN36),"")</f>
        <v/>
      </c>
      <c r="AS36" s="237">
        <f>IF(F36&lt;40,0,IF(F36&lt;=64,1,IF(F36&gt;65,0,)))</f>
        <v>0</v>
      </c>
    </row>
    <row r="37" spans="1:45" ht="16.5" customHeight="1" thickBot="1" x14ac:dyDescent="0.2">
      <c r="A37" s="53"/>
      <c r="B37" s="54"/>
      <c r="C37" s="239"/>
      <c r="D37" s="239"/>
      <c r="E37" s="239"/>
      <c r="F37" s="224"/>
      <c r="G37" s="224"/>
      <c r="H37" s="225"/>
      <c r="I37" s="226"/>
      <c r="J37" s="226"/>
      <c r="K37" s="226"/>
      <c r="L37" s="226"/>
      <c r="M37" s="227"/>
      <c r="N37" s="228"/>
      <c r="O37" s="228"/>
      <c r="P37" s="228"/>
      <c r="Q37" s="228"/>
      <c r="R37" s="227"/>
      <c r="S37" s="228"/>
      <c r="T37" s="228"/>
      <c r="U37" s="228"/>
      <c r="V37" s="228"/>
      <c r="W37" s="227"/>
      <c r="X37" s="313"/>
      <c r="Y37" s="248"/>
      <c r="Z37" s="309"/>
      <c r="AA37" s="309"/>
      <c r="AB37" s="47"/>
      <c r="AC37" s="139">
        <f>IF((AG36+AG37-100000)&lt;=0, 0, (AG36+AG37-100000))</f>
        <v>0</v>
      </c>
      <c r="AD37" s="140">
        <f>AC37</f>
        <v>0</v>
      </c>
      <c r="AE37" s="241"/>
      <c r="AF37" s="145">
        <f t="shared" si="1"/>
        <v>0</v>
      </c>
      <c r="AG37" s="126">
        <f>IF(AF36&lt;=0,0,IF(AJ36&lt;=0,0,(IF(AJ36&lt;=100000,AJ36,100000))))</f>
        <v>0</v>
      </c>
      <c r="AH37" s="232"/>
      <c r="AI37" s="126">
        <f>IF(N36&lt;=1100000,0,IF(N36&lt;=3299999,N36-1100000,IF(N36&lt;=4099999,N36*0.75-275000,IF(N36&lt;=7699999,N36*0.85-685000,IF(N36&lt;=9999999,N36*0.95-1455000, IF(N36&gt;=10000000,N36-1955000))))))</f>
        <v>0</v>
      </c>
      <c r="AJ37" s="35">
        <f>IF(F36&lt;=64,AI36,IF(AI37-150000&lt;=0,0,AI37-150000))</f>
        <v>0</v>
      </c>
      <c r="AK37" s="246"/>
      <c r="AL37" s="35">
        <f>AH36+AJ37+AK36</f>
        <v>0</v>
      </c>
      <c r="AM37" s="245"/>
      <c r="AN37" s="234"/>
      <c r="AO37" s="246"/>
      <c r="AQ37" s="252"/>
      <c r="AR37" s="232"/>
      <c r="AS37" s="237"/>
    </row>
    <row r="38" spans="1:45" ht="16.5" customHeight="1" thickBot="1" x14ac:dyDescent="0.2">
      <c r="A38" s="53"/>
      <c r="B38" s="54"/>
      <c r="C38" s="239" t="s">
        <v>48</v>
      </c>
      <c r="D38" s="239"/>
      <c r="E38" s="239"/>
      <c r="F38" s="224"/>
      <c r="G38" s="224"/>
      <c r="H38" s="225" t="s">
        <v>24</v>
      </c>
      <c r="I38" s="226"/>
      <c r="J38" s="226"/>
      <c r="K38" s="226"/>
      <c r="L38" s="226"/>
      <c r="M38" s="227" t="s">
        <v>0</v>
      </c>
      <c r="N38" s="226"/>
      <c r="O38" s="228"/>
      <c r="P38" s="228"/>
      <c r="Q38" s="228"/>
      <c r="R38" s="227" t="s">
        <v>0</v>
      </c>
      <c r="S38" s="226"/>
      <c r="T38" s="228"/>
      <c r="U38" s="228"/>
      <c r="V38" s="228"/>
      <c r="W38" s="227" t="s">
        <v>0</v>
      </c>
      <c r="X38" s="312"/>
      <c r="Y38" s="247"/>
      <c r="Z38" s="247"/>
      <c r="AA38" s="247"/>
      <c r="AB38" s="47"/>
      <c r="AC38" s="138">
        <f>IF(I38&lt;=550999,0,IF(I38&lt;=1618999,I38-550000,IF(I38&lt;=1619999,1069000,IF(I38&lt;=1621999,1070000,IF(I38&lt;=1623999,1072000,IF(I38&lt;=1627999,1074000,IF(I38&lt;=1799999,ROUNDDOWN(I38/4,-3)*4*0.6+100000,(IF(I38&lt;=3599999,ROUNDDOWN(I38/4,-3)*4*0.7-80000,IF(I38&lt;=6599999,ROUNDDOWN(I38/4,-3)*4*0.8-440000,IF(I38&lt;=8499999,I38*0.9-1100000,I38-1950000)))))))))))</f>
        <v>0</v>
      </c>
      <c r="AD38" s="142">
        <f>AC38*0.3</f>
        <v>0</v>
      </c>
      <c r="AE38" s="240" t="s">
        <v>25</v>
      </c>
      <c r="AF38" s="144">
        <f t="shared" si="1"/>
        <v>0</v>
      </c>
      <c r="AG38" s="8">
        <f>IF(AF38&lt;=0,0,IF(AJ38&lt;=0,0,(IF(AF38&lt;=100000,AF38,100000))))</f>
        <v>0</v>
      </c>
      <c r="AH38" s="231">
        <f>AF38-AF39</f>
        <v>0</v>
      </c>
      <c r="AI38" s="8">
        <f>IF(N38&lt;=600000,0,IF(N38&lt;=1299999,N38-600000,IF(N38&lt;=4099999,N38*0.75-275000,IF(N38&lt;=7699999,N38*0.85-685000,IF(N38&lt;=9999999,N38*0.95-1455000, IF(N38&gt;=10000000,N38-1955000))))))</f>
        <v>0</v>
      </c>
      <c r="AJ38" s="129">
        <f>IF(F38&lt;=64,AI38,AI39)</f>
        <v>0</v>
      </c>
      <c r="AK38" s="246">
        <f>S38</f>
        <v>0</v>
      </c>
      <c r="AL38" s="129">
        <f>AH38+AJ38+AK38</f>
        <v>0</v>
      </c>
      <c r="AM38" s="244">
        <f>IF(AL38&lt;=24000000, 430000, IF(AL38&lt;=24500000, 290000, IF(AL38&lt;=25000000, 150000, 0)))</f>
        <v>430000</v>
      </c>
      <c r="AN38" s="233" t="str">
        <f>IF((AL38-AM38)&lt;0,"",(AL38-AM38))</f>
        <v/>
      </c>
      <c r="AO38" s="246">
        <f>IF(I38&gt;=550001,1,IF(AND(F38&gt;=60,F38&lt;=64,N38&gt;=600001),1,IF(AND(F38&gt;=65,N38&gt;=1250001),1,0)))</f>
        <v>0</v>
      </c>
      <c r="AQ38" s="252" t="s">
        <v>25</v>
      </c>
      <c r="AR38" s="231" t="str">
        <f>IF(AND(F38&gt;=40,F38&lt;=64),(AN38),"")</f>
        <v/>
      </c>
      <c r="AS38" s="237">
        <f>IF(F38&lt;40,0,IF(F38&lt;=64,1,IF(F38&gt;65,0,)))</f>
        <v>0</v>
      </c>
    </row>
    <row r="39" spans="1:45" ht="16.5" customHeight="1" thickBot="1" x14ac:dyDescent="0.2">
      <c r="A39" s="53"/>
      <c r="B39" s="54"/>
      <c r="C39" s="239"/>
      <c r="D39" s="239"/>
      <c r="E39" s="239"/>
      <c r="F39" s="224"/>
      <c r="G39" s="224"/>
      <c r="H39" s="225"/>
      <c r="I39" s="226"/>
      <c r="J39" s="226"/>
      <c r="K39" s="226"/>
      <c r="L39" s="226"/>
      <c r="M39" s="227"/>
      <c r="N39" s="228"/>
      <c r="O39" s="228"/>
      <c r="P39" s="228"/>
      <c r="Q39" s="228"/>
      <c r="R39" s="227"/>
      <c r="S39" s="228"/>
      <c r="T39" s="228"/>
      <c r="U39" s="228"/>
      <c r="V39" s="228"/>
      <c r="W39" s="227"/>
      <c r="X39" s="313"/>
      <c r="Y39" s="248"/>
      <c r="Z39" s="309"/>
      <c r="AA39" s="309"/>
      <c r="AB39" s="47"/>
      <c r="AC39" s="139">
        <f>IF((AG38+AG39-100000)&lt;=0, 0, (AG38+AG39-100000))</f>
        <v>0</v>
      </c>
      <c r="AD39" s="140">
        <f>AC39</f>
        <v>0</v>
      </c>
      <c r="AE39" s="241"/>
      <c r="AF39" s="145">
        <f t="shared" si="1"/>
        <v>0</v>
      </c>
      <c r="AG39" s="126">
        <f>IF(AF38&lt;=0,0,IF(AJ38&lt;=0,0,(IF(AJ38&lt;=100000,AJ38,100000))))</f>
        <v>0</v>
      </c>
      <c r="AH39" s="232"/>
      <c r="AI39" s="126">
        <f>IF(N38&lt;=1100000,0,IF(N38&lt;=3299999,N38-1100000,IF(N38&lt;=4099999,N38*0.75-275000,IF(N38&lt;=7699999,N38*0.85-685000,IF(N38&lt;=9999999,N38*0.95-1455000, IF(N38&gt;=10000000,N38-1955000))))))</f>
        <v>0</v>
      </c>
      <c r="AJ39" s="35">
        <f>IF(F38&lt;=64,AI38,IF(AI39-150000&lt;=0,0,AI39-150000))</f>
        <v>0</v>
      </c>
      <c r="AK39" s="246"/>
      <c r="AL39" s="35">
        <f>AH38+AJ39+AK38</f>
        <v>0</v>
      </c>
      <c r="AM39" s="245"/>
      <c r="AN39" s="234"/>
      <c r="AO39" s="246"/>
      <c r="AQ39" s="252"/>
      <c r="AR39" s="232"/>
      <c r="AS39" s="237"/>
    </row>
    <row r="40" spans="1:45" ht="16.5" customHeight="1" thickBot="1" x14ac:dyDescent="0.2">
      <c r="A40" s="53"/>
      <c r="B40" s="54"/>
      <c r="C40" s="253" t="s">
        <v>97</v>
      </c>
      <c r="D40" s="254"/>
      <c r="E40" s="254"/>
      <c r="F40" s="255"/>
      <c r="G40" s="255"/>
      <c r="H40" s="225" t="s">
        <v>24</v>
      </c>
      <c r="I40" s="256"/>
      <c r="J40" s="256"/>
      <c r="K40" s="256"/>
      <c r="L40" s="256"/>
      <c r="M40" s="227" t="s">
        <v>0</v>
      </c>
      <c r="N40" s="256"/>
      <c r="O40" s="257"/>
      <c r="P40" s="257"/>
      <c r="Q40" s="257"/>
      <c r="R40" s="227" t="s">
        <v>0</v>
      </c>
      <c r="S40" s="256"/>
      <c r="T40" s="257"/>
      <c r="U40" s="257"/>
      <c r="V40" s="257"/>
      <c r="W40" s="227" t="s">
        <v>0</v>
      </c>
      <c r="X40" s="312">
        <f>SUM(X26:X39)</f>
        <v>0</v>
      </c>
      <c r="Y40" s="264"/>
      <c r="Z40" s="264"/>
      <c r="AA40" s="264"/>
      <c r="AB40" s="47"/>
      <c r="AC40" s="265"/>
      <c r="AD40" s="141"/>
      <c r="AE40" s="240" t="s">
        <v>19</v>
      </c>
      <c r="AF40" s="260"/>
      <c r="AG40" s="127"/>
      <c r="AH40" s="233">
        <f>SUM(AH26:AH39)</f>
        <v>0</v>
      </c>
      <c r="AI40" s="260"/>
      <c r="AJ40" s="34">
        <f>AJ26+AJ28+AJ30+AJ32+AJ34+AJ36+AJ38</f>
        <v>0</v>
      </c>
      <c r="AK40" s="233">
        <f>SUM(AK26:AK39)</f>
        <v>0</v>
      </c>
      <c r="AL40" s="34">
        <f>AL26+AL28+AL30+AL32+AL34+AL36+AL38</f>
        <v>0</v>
      </c>
      <c r="AM40" s="258"/>
      <c r="AN40" s="233">
        <f>SUM(AN26:AN39)</f>
        <v>0</v>
      </c>
      <c r="AO40" s="260"/>
      <c r="AQ40" s="6" t="s">
        <v>19</v>
      </c>
      <c r="AR40" s="9">
        <f>SUM(AR26:AR39)</f>
        <v>0</v>
      </c>
      <c r="AS40" s="11">
        <f>SUM(AS26:AS39)</f>
        <v>0</v>
      </c>
    </row>
    <row r="41" spans="1:45" ht="16.5" customHeight="1" thickBot="1" x14ac:dyDescent="0.2">
      <c r="A41" s="53"/>
      <c r="B41" s="54"/>
      <c r="C41" s="262" t="s">
        <v>57</v>
      </c>
      <c r="D41" s="263"/>
      <c r="E41" s="263"/>
      <c r="F41" s="255"/>
      <c r="G41" s="255"/>
      <c r="H41" s="225"/>
      <c r="I41" s="256"/>
      <c r="J41" s="256"/>
      <c r="K41" s="256"/>
      <c r="L41" s="256"/>
      <c r="M41" s="227"/>
      <c r="N41" s="257"/>
      <c r="O41" s="257"/>
      <c r="P41" s="257"/>
      <c r="Q41" s="257"/>
      <c r="R41" s="227"/>
      <c r="S41" s="257"/>
      <c r="T41" s="257"/>
      <c r="U41" s="257"/>
      <c r="V41" s="257"/>
      <c r="W41" s="227"/>
      <c r="X41" s="314"/>
      <c r="Y41" s="267"/>
      <c r="Z41" s="268"/>
      <c r="AA41" s="264"/>
      <c r="AB41" s="47"/>
      <c r="AC41" s="266"/>
      <c r="AD41" s="137"/>
      <c r="AE41" s="241"/>
      <c r="AF41" s="261"/>
      <c r="AG41" s="128"/>
      <c r="AH41" s="234"/>
      <c r="AI41" s="261"/>
      <c r="AJ41" s="10">
        <f>AJ27+AJ29+AJ31+AJ33+AJ35+AJ37+AJ39</f>
        <v>0</v>
      </c>
      <c r="AK41" s="234"/>
      <c r="AL41" s="10">
        <f>AL27+AL29+AL31+AL33+AL35+AL37+AL39</f>
        <v>0</v>
      </c>
      <c r="AM41" s="259"/>
      <c r="AN41" s="234"/>
      <c r="AO41" s="261"/>
    </row>
    <row r="42" spans="1:45" ht="18" customHeight="1" thickBot="1" x14ac:dyDescent="0.2">
      <c r="A42" s="53"/>
      <c r="B42" s="54"/>
      <c r="C42" s="76"/>
      <c r="D42" s="76"/>
      <c r="E42" s="76"/>
      <c r="F42" s="76"/>
      <c r="G42" s="76"/>
      <c r="H42" s="76"/>
      <c r="I42" s="278" t="s">
        <v>30</v>
      </c>
      <c r="J42" s="278"/>
      <c r="K42" s="278"/>
      <c r="L42" s="278"/>
      <c r="M42" s="278"/>
      <c r="N42" s="278"/>
      <c r="O42" s="278"/>
      <c r="P42" s="279">
        <f>COUNT(F26:G39)</f>
        <v>0</v>
      </c>
      <c r="Q42" s="279"/>
      <c r="R42" s="113" t="s">
        <v>11</v>
      </c>
      <c r="S42" s="76"/>
      <c r="T42" s="76"/>
      <c r="U42" s="76"/>
      <c r="V42" s="76"/>
      <c r="W42" s="76"/>
      <c r="X42" s="77"/>
      <c r="Y42" s="15"/>
      <c r="Z42" s="13"/>
      <c r="AA42" s="13"/>
      <c r="AB42" s="13"/>
      <c r="AC42" s="138">
        <f>IF(F40&lt;=550999,0,IF(F40&lt;=1618999,F40-550000,IF(F40&lt;=1619999,1069000,IF(F40&lt;=1621999,1070000,IF(F40&lt;=1623999,1072000,IF(F40&lt;=1627999,1074000,IF(F40&lt;=1799999,ROUNDDOWN(F40/4,-3)*4*0.6+100000,(IF(F40&lt;=3599999,ROUNDDOWN(F40/4,-3)*4*0.7-80000,IF(F40&lt;=6599999,ROUNDDOWN(F40/4,-3)*4*0.8-440000,IF(F40&lt;=8499999,F40*0.9-1100000,F40-1950000)))))))))))</f>
        <v>0</v>
      </c>
      <c r="AD42" s="142"/>
      <c r="AE42" s="240" t="s">
        <v>50</v>
      </c>
      <c r="AF42" s="8">
        <f>IF(I40&lt;=550999,0,IF(I40&lt;=1618999,I40-550000,IF(I40&lt;=1619999,1069000,IF(I40&lt;=1621999,1070000,IF(I40&lt;=1623999,1072000,IF(I40&lt;=1627999,1074000,IF(I40&lt;=1799999,ROUNDDOWN(I40/4,-3)*4*0.6+100000,(IF(I40&lt;=3599999,ROUNDDOWN(I40/4,-3)*4*0.7-80000,IF(I40&lt;=6599999,ROUNDDOWN(I40/4,-3)*4*0.8-440000,IF(I40&lt;=8499999,I40*0.9-1100000,I40-1950000)))))))))))</f>
        <v>0</v>
      </c>
      <c r="AG42" s="8">
        <f>IF(AF42&lt;=0,0,IF(AJ42&lt;=0,0,(IF(AF42&lt;=100000,AF42,100000))))</f>
        <v>0</v>
      </c>
      <c r="AH42" s="231">
        <f>AF42-AF43</f>
        <v>0</v>
      </c>
      <c r="AI42" s="8">
        <f>IF(N40&lt;=600000,0,IF(N40&lt;=1299999,N40-600000,IF(N40&lt;=4099999,N40*0.75-275000,IF(N40&lt;=7699999,N40*0.85-685000,IF(N40&lt;=9999999,N40*0.95-1455000, IF(N40&gt;=10000000,N40-1955000))))))</f>
        <v>0</v>
      </c>
      <c r="AJ42" s="129">
        <f>IF(F40&lt;=64,AI42,AI43)</f>
        <v>0</v>
      </c>
      <c r="AK42" s="246">
        <f>S40</f>
        <v>0</v>
      </c>
      <c r="AL42" s="129"/>
      <c r="AO42" s="246">
        <f>IF(AH42&gt;0, 1, IF(AJ43&gt;0, 1, 0))</f>
        <v>0</v>
      </c>
    </row>
    <row r="43" spans="1:45" ht="18" customHeight="1" thickBot="1" x14ac:dyDescent="0.2">
      <c r="A43" s="53"/>
      <c r="B43" s="54"/>
      <c r="C43" s="76"/>
      <c r="D43" s="76"/>
      <c r="E43" s="76"/>
      <c r="F43" s="76"/>
      <c r="G43" s="76"/>
      <c r="H43" s="76"/>
      <c r="I43" s="273" t="s">
        <v>72</v>
      </c>
      <c r="J43" s="273"/>
      <c r="K43" s="273"/>
      <c r="L43" s="273"/>
      <c r="M43" s="273"/>
      <c r="N43" s="273"/>
      <c r="O43" s="273"/>
      <c r="P43" s="274">
        <f>AS40</f>
        <v>0</v>
      </c>
      <c r="Q43" s="275"/>
      <c r="R43" s="114" t="s">
        <v>11</v>
      </c>
      <c r="S43" s="57" t="s">
        <v>31</v>
      </c>
      <c r="T43" s="76"/>
      <c r="U43" s="76"/>
      <c r="V43" s="76"/>
      <c r="W43" s="76"/>
      <c r="X43" s="77"/>
      <c r="Y43" s="13"/>
      <c r="Z43" s="13"/>
      <c r="AA43" s="13"/>
      <c r="AB43" s="13"/>
      <c r="AC43" s="139">
        <f>IF((AD42+AD43-100000)&lt;=0, 0, (AD42+AD43-100000))</f>
        <v>0</v>
      </c>
      <c r="AD43" s="143"/>
      <c r="AE43" s="241"/>
      <c r="AF43" s="126">
        <f>IF((AG42+AG43-100000)&lt;=0, 0, (AG42+AG43-100000))</f>
        <v>0</v>
      </c>
      <c r="AG43" s="126">
        <f>IF(AF42&lt;=0,0,IF(AJ42&lt;=0,0,(IF(AJ42&lt;=100000,AJ42,100000))))</f>
        <v>0</v>
      </c>
      <c r="AH43" s="232"/>
      <c r="AI43" s="126">
        <f>IF(N40&lt;=1100000,0,IF(N40&lt;=3299999,N40-1100000,IF(N40&lt;=4099999,N40*0.75-275000,IF(N40&lt;=7699999,N40*0.85-685000,IF(N40&lt;=9999999,N40*0.95-1455000, IF(N40&gt;=10000000,N40-1955000))))))</f>
        <v>0</v>
      </c>
      <c r="AJ43" s="35">
        <f>IF(F40&lt;=64,AI42,IF(AI43-150000&lt;=0,0,AI43-150000))</f>
        <v>0</v>
      </c>
      <c r="AK43" s="246"/>
      <c r="AL43" s="35">
        <f>AH42+AJ43+AK42</f>
        <v>0</v>
      </c>
      <c r="AO43" s="246"/>
    </row>
    <row r="44" spans="1:45" ht="18" customHeight="1" thickBot="1" x14ac:dyDescent="0.2">
      <c r="A44" s="53"/>
      <c r="B44" s="54"/>
      <c r="C44" s="76"/>
      <c r="D44" s="76"/>
      <c r="E44" s="76"/>
      <c r="F44" s="76"/>
      <c r="G44" s="76"/>
      <c r="H44" s="76"/>
      <c r="I44" s="276" t="s">
        <v>73</v>
      </c>
      <c r="J44" s="276"/>
      <c r="K44" s="276"/>
      <c r="L44" s="276"/>
      <c r="M44" s="276"/>
      <c r="N44" s="277">
        <f>AN40</f>
        <v>0</v>
      </c>
      <c r="O44" s="277"/>
      <c r="P44" s="277"/>
      <c r="Q44" s="277"/>
      <c r="R44" s="114" t="s">
        <v>0</v>
      </c>
      <c r="S44" s="76"/>
      <c r="T44" s="76"/>
      <c r="U44" s="76"/>
      <c r="V44" s="76"/>
      <c r="W44" s="76"/>
      <c r="X44" s="77"/>
      <c r="Y44" s="13"/>
      <c r="Z44" s="13"/>
      <c r="AA44" s="13"/>
      <c r="AB44" s="13"/>
      <c r="AE44" s="229" t="s">
        <v>19</v>
      </c>
      <c r="AF44" s="260"/>
      <c r="AG44" s="127"/>
      <c r="AH44" s="233">
        <f>SUM(AH40:AH43)</f>
        <v>0</v>
      </c>
      <c r="AI44" s="260"/>
      <c r="AJ44" s="30"/>
      <c r="AK44" s="233">
        <f>SUM(AK40:AK43)</f>
        <v>0</v>
      </c>
      <c r="AL44" s="34"/>
      <c r="AO44" s="246">
        <f>SUM(AO26:AO39)+AO42</f>
        <v>0</v>
      </c>
    </row>
    <row r="45" spans="1:45" ht="16.5" customHeight="1" thickBot="1" x14ac:dyDescent="0.2">
      <c r="A45" s="53"/>
      <c r="B45" s="54"/>
      <c r="C45" s="76"/>
      <c r="D45" s="76"/>
      <c r="E45" s="76"/>
      <c r="F45" s="76"/>
      <c r="G45" s="76"/>
      <c r="H45" s="76"/>
      <c r="I45" s="269"/>
      <c r="J45" s="269"/>
      <c r="K45" s="269"/>
      <c r="L45" s="269"/>
      <c r="M45" s="269"/>
      <c r="N45" s="270"/>
      <c r="O45" s="270"/>
      <c r="P45" s="270"/>
      <c r="Q45" s="270"/>
      <c r="R45" s="108"/>
      <c r="S45" s="76"/>
      <c r="T45" s="76"/>
      <c r="U45" s="76"/>
      <c r="V45" s="76"/>
      <c r="W45" s="76"/>
      <c r="X45" s="77"/>
      <c r="Y45" s="13"/>
      <c r="Z45" s="13"/>
      <c r="AA45" s="13"/>
      <c r="AB45" s="13"/>
      <c r="AE45" s="230"/>
      <c r="AF45" s="261"/>
      <c r="AG45" s="128"/>
      <c r="AH45" s="234"/>
      <c r="AI45" s="261"/>
      <c r="AJ45" s="40">
        <f>SUM(AJ41:AJ43)</f>
        <v>0</v>
      </c>
      <c r="AK45" s="234"/>
      <c r="AL45" s="41">
        <f>SUM(AL41:AL43)</f>
        <v>0</v>
      </c>
      <c r="AO45" s="246"/>
    </row>
    <row r="46" spans="1:45" ht="16.5" customHeight="1" x14ac:dyDescent="0.15">
      <c r="A46" s="53"/>
      <c r="B46" s="54"/>
      <c r="C46" s="76"/>
      <c r="D46" s="76"/>
      <c r="E46" s="76"/>
      <c r="F46" s="76"/>
      <c r="G46" s="76"/>
      <c r="H46" s="76"/>
      <c r="I46" s="271"/>
      <c r="J46" s="271"/>
      <c r="K46" s="271"/>
      <c r="L46" s="271"/>
      <c r="M46" s="271"/>
      <c r="N46" s="271"/>
      <c r="O46" s="76"/>
      <c r="P46" s="76"/>
      <c r="Q46" s="76"/>
      <c r="R46" s="76"/>
      <c r="S46" s="76"/>
      <c r="T46" s="76"/>
      <c r="U46" s="76"/>
      <c r="V46" s="76"/>
      <c r="W46" s="76"/>
      <c r="X46" s="77"/>
      <c r="Y46" s="13"/>
      <c r="Z46" s="13"/>
      <c r="AA46" s="13"/>
      <c r="AB46" s="13"/>
      <c r="AF46" s="20"/>
      <c r="AG46" s="18"/>
      <c r="AH46" s="21"/>
      <c r="AI46" s="21"/>
    </row>
    <row r="47" spans="1:45" ht="12" customHeight="1" thickBot="1" x14ac:dyDescent="0.2">
      <c r="A47" s="53"/>
      <c r="B47" s="54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7"/>
      <c r="Y47" s="13"/>
      <c r="Z47" s="13"/>
      <c r="AA47" s="13"/>
      <c r="AB47" s="13"/>
      <c r="AE47" s="31" t="s">
        <v>51</v>
      </c>
      <c r="AF47" s="32">
        <f>COUNT(F40)</f>
        <v>0</v>
      </c>
      <c r="AG47" s="18"/>
      <c r="AH47" s="21"/>
      <c r="AI47" s="21"/>
    </row>
    <row r="48" spans="1:45" ht="18.75" customHeight="1" thickBot="1" x14ac:dyDescent="0.2">
      <c r="A48" s="53"/>
      <c r="B48" s="54"/>
      <c r="C48" s="76"/>
      <c r="D48" s="76"/>
      <c r="E48" s="76"/>
      <c r="F48" s="272"/>
      <c r="G48" s="272"/>
      <c r="H48" s="272"/>
      <c r="I48" s="217" t="s">
        <v>98</v>
      </c>
      <c r="J48" s="217"/>
      <c r="K48" s="217"/>
      <c r="L48" s="217"/>
      <c r="M48" s="217"/>
      <c r="N48" s="217" t="s">
        <v>99</v>
      </c>
      <c r="O48" s="217"/>
      <c r="P48" s="217"/>
      <c r="Q48" s="217"/>
      <c r="R48" s="217"/>
      <c r="S48" s="217" t="s">
        <v>100</v>
      </c>
      <c r="T48" s="217"/>
      <c r="U48" s="217"/>
      <c r="V48" s="217"/>
      <c r="W48" s="217"/>
      <c r="X48" s="77"/>
      <c r="Y48" s="13"/>
      <c r="Z48" s="13"/>
      <c r="AA48" s="13"/>
      <c r="AB48" s="13"/>
      <c r="AF48" s="20"/>
      <c r="AG48" s="18"/>
    </row>
    <row r="49" spans="1:38" ht="4.5" customHeight="1" thickBot="1" x14ac:dyDescent="0.2">
      <c r="A49" s="53"/>
      <c r="B49" s="54"/>
      <c r="C49" s="76"/>
      <c r="D49" s="76"/>
      <c r="E49" s="76"/>
      <c r="F49" s="217" t="s">
        <v>32</v>
      </c>
      <c r="G49" s="217"/>
      <c r="H49" s="217"/>
      <c r="I49" s="280">
        <f>ROUNDDOWN(N44*('R５税率'!B4),0)</f>
        <v>0</v>
      </c>
      <c r="J49" s="280"/>
      <c r="K49" s="280"/>
      <c r="L49" s="280"/>
      <c r="M49" s="217" t="s">
        <v>0</v>
      </c>
      <c r="N49" s="280">
        <f>ROUNDDOWN(N44*('R５税率'!C4),0)</f>
        <v>0</v>
      </c>
      <c r="O49" s="280"/>
      <c r="P49" s="280"/>
      <c r="Q49" s="280"/>
      <c r="R49" s="217" t="s">
        <v>0</v>
      </c>
      <c r="S49" s="280">
        <f>ROUNDDOWN(AR40*('R５税率'!D4),0)</f>
        <v>0</v>
      </c>
      <c r="T49" s="280"/>
      <c r="U49" s="280"/>
      <c r="V49" s="280"/>
      <c r="W49" s="217" t="s">
        <v>0</v>
      </c>
      <c r="X49" s="77"/>
      <c r="Y49" s="13"/>
      <c r="Z49" s="13"/>
      <c r="AA49" s="13"/>
      <c r="AB49" s="13"/>
      <c r="AI49" t="s">
        <v>16</v>
      </c>
      <c r="AK49" s="22"/>
      <c r="AL49" s="22"/>
    </row>
    <row r="50" spans="1:38" ht="18.75" customHeight="1" thickBot="1" x14ac:dyDescent="0.2">
      <c r="A50" s="53"/>
      <c r="B50" s="54"/>
      <c r="C50" s="76"/>
      <c r="D50" s="76"/>
      <c r="E50" s="76"/>
      <c r="F50" s="217"/>
      <c r="G50" s="217"/>
      <c r="H50" s="217"/>
      <c r="I50" s="280"/>
      <c r="J50" s="280"/>
      <c r="K50" s="280"/>
      <c r="L50" s="280"/>
      <c r="M50" s="217"/>
      <c r="N50" s="280"/>
      <c r="O50" s="280"/>
      <c r="P50" s="280"/>
      <c r="Q50" s="280"/>
      <c r="R50" s="217"/>
      <c r="S50" s="280"/>
      <c r="T50" s="280"/>
      <c r="U50" s="280"/>
      <c r="V50" s="280"/>
      <c r="W50" s="217"/>
      <c r="X50" s="77"/>
      <c r="Y50" s="13"/>
      <c r="Z50" s="13"/>
      <c r="AA50" s="13"/>
      <c r="AB50" s="13"/>
      <c r="AE50" t="s">
        <v>35</v>
      </c>
      <c r="AI50" s="1"/>
      <c r="AJ50" s="12" t="s">
        <v>37</v>
      </c>
      <c r="AK50" s="12" t="s">
        <v>60</v>
      </c>
      <c r="AL50" s="12" t="s">
        <v>41</v>
      </c>
    </row>
    <row r="51" spans="1:38" ht="18.75" customHeight="1" thickBot="1" x14ac:dyDescent="0.2">
      <c r="A51" s="53"/>
      <c r="B51" s="54"/>
      <c r="C51" s="76"/>
      <c r="D51" s="76"/>
      <c r="E51" s="76"/>
      <c r="F51" s="217" t="s">
        <v>33</v>
      </c>
      <c r="G51" s="217"/>
      <c r="H51" s="217"/>
      <c r="I51" s="280">
        <f>P42*('R５税率'!B5)</f>
        <v>0</v>
      </c>
      <c r="J51" s="280"/>
      <c r="K51" s="280"/>
      <c r="L51" s="280"/>
      <c r="M51" s="106" t="s">
        <v>0</v>
      </c>
      <c r="N51" s="280">
        <f>P42*('R５税率'!C5)</f>
        <v>0</v>
      </c>
      <c r="O51" s="280"/>
      <c r="P51" s="280"/>
      <c r="Q51" s="280"/>
      <c r="R51" s="106" t="s">
        <v>0</v>
      </c>
      <c r="S51" s="280">
        <f>P43*('R５税率'!D5)</f>
        <v>0</v>
      </c>
      <c r="T51" s="280"/>
      <c r="U51" s="280"/>
      <c r="V51" s="280"/>
      <c r="W51" s="106" t="s">
        <v>0</v>
      </c>
      <c r="X51" s="77"/>
      <c r="Y51" s="13"/>
      <c r="Z51" s="13"/>
      <c r="AA51" s="13"/>
      <c r="AB51" s="13"/>
      <c r="AE51" s="12" t="s">
        <v>22</v>
      </c>
      <c r="AF51" s="12" t="s">
        <v>61</v>
      </c>
      <c r="AG51" s="12" t="s">
        <v>23</v>
      </c>
      <c r="AI51" s="23" t="s">
        <v>38</v>
      </c>
      <c r="AJ51" s="24">
        <f>IF($AL$45&lt;=430000+IF($AO$44&lt;=1, 0, IF($AO$44&gt;=2,100000*($AO$44-1))),(I51+I52)*0.7,0)</f>
        <v>0</v>
      </c>
      <c r="AK51" s="24">
        <f>IF($AL$45&lt;=430000+IF($AO$44&lt;=1, 0, IF($AO$44&gt;=2,100000*($AO$44-1))),(N51+N52)*0.7,0)</f>
        <v>0</v>
      </c>
      <c r="AL51" s="24">
        <f>IF($AL$45&lt;=430000+IF($AO$44&lt;=1, 0, IF($AO$44&gt;=2,100000*($AO$44-1))),(S51+S52)*0.7,0)</f>
        <v>0</v>
      </c>
    </row>
    <row r="52" spans="1:38" ht="18.75" customHeight="1" thickBot="1" x14ac:dyDescent="0.2">
      <c r="A52" s="53"/>
      <c r="B52" s="54"/>
      <c r="C52" s="76"/>
      <c r="D52" s="76"/>
      <c r="E52" s="76"/>
      <c r="F52" s="217" t="s">
        <v>34</v>
      </c>
      <c r="G52" s="217"/>
      <c r="H52" s="217"/>
      <c r="I52" s="280">
        <f>IF(I51=0,0,'R５税率'!B6)</f>
        <v>0</v>
      </c>
      <c r="J52" s="280"/>
      <c r="K52" s="280"/>
      <c r="L52" s="280"/>
      <c r="M52" s="106" t="s">
        <v>0</v>
      </c>
      <c r="N52" s="280">
        <f>IF(N51=0,0,'R５税率'!C6)</f>
        <v>0</v>
      </c>
      <c r="O52" s="280"/>
      <c r="P52" s="280"/>
      <c r="Q52" s="280"/>
      <c r="R52" s="106" t="s">
        <v>0</v>
      </c>
      <c r="S52" s="280">
        <f>IF(AS40=0,0,'R５税率'!D6)</f>
        <v>0</v>
      </c>
      <c r="T52" s="280"/>
      <c r="U52" s="280"/>
      <c r="V52" s="280"/>
      <c r="W52" s="106" t="s">
        <v>0</v>
      </c>
      <c r="X52" s="77"/>
      <c r="Y52" s="13"/>
      <c r="Z52" s="13"/>
      <c r="AA52" s="13"/>
      <c r="AB52" s="13"/>
      <c r="AE52" s="4">
        <f>SUM(I49:L53)</f>
        <v>0</v>
      </c>
      <c r="AF52" s="4">
        <f>SUM(N49:Q53)</f>
        <v>0</v>
      </c>
      <c r="AG52" s="4">
        <f>SUM(S49:V53)</f>
        <v>0</v>
      </c>
      <c r="AI52" s="23" t="s">
        <v>39</v>
      </c>
      <c r="AJ52" s="24">
        <f>IF($AL$45&lt;=430000+290000*$P$42+IF($AO$44&lt;=1, 0, IF($AO$44&gt;=2,100000*($AO$44-1))),(I51+I52)*0.5,0)</f>
        <v>0</v>
      </c>
      <c r="AK52" s="24">
        <f>IF($AL$45&lt;=430000+290000*$P$42+IF($AO$44&lt;=1, 0, IF($AO$44&gt;=2,100000*($AO$44-1))),(N51+N52)*0.5,0)</f>
        <v>0</v>
      </c>
      <c r="AL52" s="24">
        <f>IF($AL$45&lt;=430000+290000*$P$42+IF($AO$44&lt;=1, 0, IF($AO$44&gt;=2,100000*($AO$44-1))),(S51+S52)*0.5,0)</f>
        <v>0</v>
      </c>
    </row>
    <row r="53" spans="1:38" ht="18.75" customHeight="1" thickBot="1" x14ac:dyDescent="0.2">
      <c r="A53" s="53"/>
      <c r="B53" s="54"/>
      <c r="C53" s="76"/>
      <c r="D53" s="76"/>
      <c r="E53" s="76"/>
      <c r="F53" s="217" t="s">
        <v>58</v>
      </c>
      <c r="G53" s="217"/>
      <c r="H53" s="217"/>
      <c r="I53" s="292">
        <f>IF(I49+I51+I52&gt;='R５税率'!B7,AJ54,(AJ54+'R５税率'!D17)*-1)</f>
        <v>0</v>
      </c>
      <c r="J53" s="292"/>
      <c r="K53" s="292"/>
      <c r="L53" s="292"/>
      <c r="M53" s="107" t="s">
        <v>0</v>
      </c>
      <c r="N53" s="292">
        <f>IF(N49+N51+N52&gt;='R５税率'!C7,AK54,(AK54+'R５税率'!E17)*-1)</f>
        <v>0</v>
      </c>
      <c r="O53" s="292"/>
      <c r="P53" s="292"/>
      <c r="Q53" s="292"/>
      <c r="R53" s="107" t="s">
        <v>0</v>
      </c>
      <c r="S53" s="292">
        <f>AL54*-1</f>
        <v>0</v>
      </c>
      <c r="T53" s="292"/>
      <c r="U53" s="292"/>
      <c r="V53" s="292"/>
      <c r="W53" s="107" t="s">
        <v>0</v>
      </c>
      <c r="X53" s="77"/>
      <c r="Y53" s="13"/>
      <c r="Z53" s="13"/>
      <c r="AA53" s="13"/>
      <c r="AB53" s="13"/>
      <c r="AE53" s="5" t="s">
        <v>36</v>
      </c>
      <c r="AG53" s="5"/>
      <c r="AI53" s="23" t="s">
        <v>40</v>
      </c>
      <c r="AJ53" s="24">
        <f>IF($AL$45&lt;=430000+535000*$P$42+IF($AO$44&lt;=1, 0, IF($AO$44&gt;=2,100000*($AO$44-1))),(I51+I52)*0.2,0)</f>
        <v>0</v>
      </c>
      <c r="AK53" s="24">
        <f>IF($AL$45&lt;=430000+535000*$P$42+IF($AO$44&lt;=1, 0, IF($AO$44&gt;=2,100000*($AO$44-1))),(N51+N52)*0.2,0)</f>
        <v>0</v>
      </c>
      <c r="AL53" s="24">
        <f>IF($AL$45&lt;=430000+535000*$P$42+IF($AO$44&lt;=1, 0, IF($AO$44&gt;=2,100000*($AO$44-1))),(S51+S52)*0.2,0)</f>
        <v>0</v>
      </c>
    </row>
    <row r="54" spans="1:38" ht="18.75" customHeight="1" thickBot="1" x14ac:dyDescent="0.2">
      <c r="A54" s="53"/>
      <c r="B54" s="54"/>
      <c r="C54" s="76"/>
      <c r="D54" s="76"/>
      <c r="E54" s="76"/>
      <c r="F54" s="217" t="s">
        <v>20</v>
      </c>
      <c r="G54" s="217"/>
      <c r="H54" s="217"/>
      <c r="I54" s="280">
        <f>IF(AE55&lt;='R５税率'!B7,AE55,'R５税率'!B7)</f>
        <v>0</v>
      </c>
      <c r="J54" s="280"/>
      <c r="K54" s="280"/>
      <c r="L54" s="280"/>
      <c r="M54" s="106" t="s">
        <v>0</v>
      </c>
      <c r="N54" s="280">
        <f>IF(AF55&lt;='R５税率'!C7,AF55,'R５税率'!C7)</f>
        <v>0</v>
      </c>
      <c r="O54" s="280"/>
      <c r="P54" s="280"/>
      <c r="Q54" s="280"/>
      <c r="R54" s="106" t="s">
        <v>0</v>
      </c>
      <c r="S54" s="280">
        <f>IF(AG55&lt;='R５税率'!D7,AG55,'R５税率'!D7)</f>
        <v>0</v>
      </c>
      <c r="T54" s="280"/>
      <c r="U54" s="280"/>
      <c r="V54" s="280"/>
      <c r="W54" s="106" t="s">
        <v>0</v>
      </c>
      <c r="X54" s="77"/>
      <c r="Y54" s="13"/>
      <c r="Z54" s="13"/>
      <c r="AA54" s="13"/>
      <c r="AB54" s="13"/>
      <c r="AE54" s="12" t="s">
        <v>22</v>
      </c>
      <c r="AF54" s="12" t="s">
        <v>61</v>
      </c>
      <c r="AG54" s="12" t="s">
        <v>23</v>
      </c>
      <c r="AI54" s="25" t="s">
        <v>42</v>
      </c>
      <c r="AJ54" s="26">
        <f>MAX(AJ51:AJ53)</f>
        <v>0</v>
      </c>
      <c r="AK54" s="26">
        <f>MAX(AK51:AK53)</f>
        <v>0</v>
      </c>
      <c r="AL54" s="26">
        <f>MAX(AL51:AL53)</f>
        <v>0</v>
      </c>
    </row>
    <row r="55" spans="1:38" ht="15" customHeight="1" x14ac:dyDescent="0.15">
      <c r="A55" s="53"/>
      <c r="B55" s="54"/>
      <c r="C55" s="76"/>
      <c r="D55" s="76"/>
      <c r="E55" s="76"/>
      <c r="F55" s="108"/>
      <c r="G55" s="108"/>
      <c r="H55" s="108"/>
      <c r="I55" s="109"/>
      <c r="J55" s="109"/>
      <c r="K55" s="109"/>
      <c r="L55" s="109"/>
      <c r="M55" s="76"/>
      <c r="N55" s="109"/>
      <c r="O55" s="109"/>
      <c r="P55" s="109"/>
      <c r="Q55" s="109"/>
      <c r="R55" s="76"/>
      <c r="S55" s="76"/>
      <c r="T55" s="76"/>
      <c r="U55" s="76"/>
      <c r="V55" s="76"/>
      <c r="W55" s="76"/>
      <c r="X55" s="77"/>
      <c r="Y55" s="13"/>
      <c r="Z55" s="13"/>
      <c r="AA55" s="13"/>
      <c r="AB55" s="13"/>
      <c r="AE55" s="4">
        <f>ROUNDDOWN(AE52,-2)</f>
        <v>0</v>
      </c>
      <c r="AF55" s="4">
        <f>ROUNDDOWN(AF52,-2)</f>
        <v>0</v>
      </c>
      <c r="AG55" s="4">
        <f>ROUNDDOWN(AG52,-2)</f>
        <v>0</v>
      </c>
      <c r="AI55" s="27"/>
      <c r="AJ55" s="28"/>
      <c r="AK55" s="28"/>
      <c r="AL55" s="28"/>
    </row>
    <row r="56" spans="1:38" x14ac:dyDescent="0.15">
      <c r="A56" s="53"/>
      <c r="B56" s="54"/>
      <c r="C56" s="76"/>
      <c r="D56" s="76"/>
      <c r="E56" s="76"/>
      <c r="F56" s="108"/>
      <c r="G56" s="108"/>
      <c r="H56" s="108"/>
      <c r="I56" s="109"/>
      <c r="J56" s="109"/>
      <c r="K56" s="109"/>
      <c r="L56" s="109"/>
      <c r="M56" s="76"/>
      <c r="N56" s="109"/>
      <c r="O56" s="109"/>
      <c r="P56" s="109"/>
      <c r="Q56" s="109"/>
      <c r="R56" s="76"/>
      <c r="S56" s="76"/>
      <c r="T56" s="76"/>
      <c r="U56" s="76"/>
      <c r="V56" s="76"/>
      <c r="W56" s="76"/>
      <c r="X56" s="77"/>
      <c r="Y56" s="13"/>
      <c r="Z56" s="13"/>
      <c r="AA56" s="13"/>
      <c r="AB56" s="13"/>
    </row>
    <row r="57" spans="1:38" ht="22.5" customHeight="1" x14ac:dyDescent="0.15">
      <c r="A57" s="53"/>
      <c r="B57" s="54"/>
      <c r="C57" s="76"/>
      <c r="D57" s="76"/>
      <c r="E57" s="76"/>
      <c r="F57" s="76"/>
      <c r="G57" s="76"/>
      <c r="H57" s="76"/>
      <c r="I57" s="286"/>
      <c r="J57" s="286"/>
      <c r="K57" s="286"/>
      <c r="L57" s="28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7"/>
      <c r="Y57" s="13"/>
      <c r="Z57" s="13"/>
      <c r="AA57" s="13"/>
      <c r="AB57" s="13"/>
      <c r="AF57" s="19"/>
    </row>
    <row r="58" spans="1:38" ht="10.5" customHeight="1" x14ac:dyDescent="0.15">
      <c r="A58" s="53"/>
      <c r="B58" s="54"/>
      <c r="C58" s="76"/>
      <c r="D58" s="76"/>
      <c r="E58" s="76"/>
      <c r="F58" s="76"/>
      <c r="G58" s="76"/>
      <c r="H58" s="76"/>
      <c r="I58" s="86"/>
      <c r="J58" s="86"/>
      <c r="K58" s="86"/>
      <c r="L58" s="8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7"/>
      <c r="Y58" s="13"/>
      <c r="Z58" s="13"/>
      <c r="AA58" s="13"/>
      <c r="AB58" s="13"/>
      <c r="AF58" s="19"/>
    </row>
    <row r="59" spans="1:38" ht="11.25" customHeight="1" thickBot="1" x14ac:dyDescent="0.2">
      <c r="A59" s="53"/>
      <c r="B59" s="54"/>
      <c r="C59" s="76"/>
      <c r="D59" s="76"/>
      <c r="E59" s="76"/>
      <c r="F59" s="269"/>
      <c r="G59" s="269"/>
      <c r="H59" s="269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85"/>
      <c r="Y59" s="13"/>
      <c r="Z59" s="13"/>
      <c r="AA59" s="13"/>
      <c r="AB59" s="13"/>
      <c r="AE59" s="20"/>
      <c r="AF59" s="18"/>
    </row>
    <row r="60" spans="1:38" ht="21.75" customHeight="1" thickBot="1" x14ac:dyDescent="0.2">
      <c r="A60" s="53"/>
      <c r="B60" s="54"/>
      <c r="C60" s="76"/>
      <c r="D60" s="76"/>
      <c r="E60" s="76"/>
      <c r="F60" s="76"/>
      <c r="G60" s="76"/>
      <c r="H60" s="281" t="s">
        <v>63</v>
      </c>
      <c r="I60" s="282"/>
      <c r="J60" s="282"/>
      <c r="K60" s="283"/>
      <c r="L60" s="287">
        <f>I54+S54+N54</f>
        <v>0</v>
      </c>
      <c r="M60" s="285"/>
      <c r="N60" s="285"/>
      <c r="O60" s="285"/>
      <c r="P60" s="106" t="s">
        <v>0</v>
      </c>
      <c r="Q60" s="110" t="s">
        <v>69</v>
      </c>
      <c r="R60" s="110"/>
      <c r="S60" s="76"/>
      <c r="T60" s="288" t="s">
        <v>86</v>
      </c>
      <c r="U60" s="289"/>
      <c r="V60" s="290" t="str">
        <f>'R５税率'!E6</f>
        <v>該当なし</v>
      </c>
      <c r="W60" s="291"/>
      <c r="X60" s="85"/>
      <c r="Y60" s="13"/>
      <c r="Z60" s="13"/>
      <c r="AA60" s="13"/>
      <c r="AB60" s="13"/>
    </row>
    <row r="61" spans="1:38" ht="21.75" customHeight="1" thickBot="1" x14ac:dyDescent="0.2">
      <c r="A61" s="53"/>
      <c r="B61" s="54"/>
      <c r="C61" s="76"/>
      <c r="D61" s="76"/>
      <c r="E61" s="76"/>
      <c r="F61" s="76"/>
      <c r="G61" s="76"/>
      <c r="H61" s="281" t="s">
        <v>26</v>
      </c>
      <c r="I61" s="282"/>
      <c r="J61" s="282"/>
      <c r="K61" s="283"/>
      <c r="L61" s="284">
        <f>L60/12</f>
        <v>0</v>
      </c>
      <c r="M61" s="285"/>
      <c r="N61" s="285"/>
      <c r="O61" s="285"/>
      <c r="P61" s="106" t="s">
        <v>0</v>
      </c>
      <c r="Q61" s="110" t="s">
        <v>69</v>
      </c>
      <c r="R61" s="110"/>
      <c r="S61" s="76"/>
      <c r="T61" s="76"/>
      <c r="U61" s="76"/>
      <c r="V61" s="76"/>
      <c r="W61" s="76"/>
      <c r="X61" s="58"/>
      <c r="Y61" s="13"/>
      <c r="Z61" s="13"/>
      <c r="AA61" s="13"/>
      <c r="AB61" s="13"/>
    </row>
    <row r="62" spans="1:38" ht="21.75" thickBot="1" x14ac:dyDescent="0.25">
      <c r="A62" s="12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49" t="str">
        <f>IF(X40=0,"","非自離軽減適用の金額です")</f>
        <v/>
      </c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05"/>
      <c r="Y62" s="7"/>
      <c r="Z62" s="7"/>
      <c r="AA62" s="7"/>
      <c r="AB62" s="7"/>
    </row>
    <row r="63" spans="1:38" x14ac:dyDescent="0.15">
      <c r="A63" s="7"/>
      <c r="B63" s="111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38" x14ac:dyDescent="0.15">
      <c r="A64" s="7"/>
      <c r="B64" s="111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x14ac:dyDescent="0.15">
      <c r="A65" s="7"/>
      <c r="B65" s="111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x14ac:dyDescent="0.15">
      <c r="A66" s="7"/>
      <c r="B66" s="111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x14ac:dyDescent="0.15">
      <c r="A67" s="7"/>
      <c r="B67" s="111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x14ac:dyDescent="0.15">
      <c r="A68" s="7"/>
      <c r="B68" s="111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</sheetData>
  <sheetProtection selectLockedCells="1"/>
  <mergeCells count="245">
    <mergeCell ref="AC40:AC41"/>
    <mergeCell ref="AO36:AO37"/>
    <mergeCell ref="AO38:AO39"/>
    <mergeCell ref="AO40:AO41"/>
    <mergeCell ref="Y32:Y33"/>
    <mergeCell ref="AA30:AA31"/>
    <mergeCell ref="AA32:AA33"/>
    <mergeCell ref="AO42:AO43"/>
    <mergeCell ref="AO44:AO45"/>
    <mergeCell ref="AH34:AH35"/>
    <mergeCell ref="AM38:AM39"/>
    <mergeCell ref="AK38:AK39"/>
    <mergeCell ref="AM36:AM37"/>
    <mergeCell ref="A21:X21"/>
    <mergeCell ref="T60:U60"/>
    <mergeCell ref="H60:K60"/>
    <mergeCell ref="H61:K61"/>
    <mergeCell ref="AA36:AA37"/>
    <mergeCell ref="AA38:AA39"/>
    <mergeCell ref="AA40:AA41"/>
    <mergeCell ref="Y36:Y37"/>
    <mergeCell ref="Y38:Y39"/>
    <mergeCell ref="Y40:Y41"/>
    <mergeCell ref="Z26:Z27"/>
    <mergeCell ref="Z28:Z29"/>
    <mergeCell ref="Z30:Z31"/>
    <mergeCell ref="Z32:Z33"/>
    <mergeCell ref="Z34:Z35"/>
    <mergeCell ref="Z36:Z37"/>
    <mergeCell ref="Z38:Z39"/>
    <mergeCell ref="Z40:Z41"/>
    <mergeCell ref="W49:W50"/>
    <mergeCell ref="F30:G31"/>
    <mergeCell ref="F32:G33"/>
    <mergeCell ref="C32:E33"/>
    <mergeCell ref="C30:E31"/>
    <mergeCell ref="N36:Q37"/>
    <mergeCell ref="C6:W6"/>
    <mergeCell ref="AN40:AN41"/>
    <mergeCell ref="AE44:AE45"/>
    <mergeCell ref="AF44:AF45"/>
    <mergeCell ref="AH44:AH45"/>
    <mergeCell ref="AI44:AI45"/>
    <mergeCell ref="AK44:AK45"/>
    <mergeCell ref="AK42:AK43"/>
    <mergeCell ref="AH40:AH41"/>
    <mergeCell ref="AI40:AI41"/>
    <mergeCell ref="AK40:AK41"/>
    <mergeCell ref="AM40:AM41"/>
    <mergeCell ref="AE42:AE43"/>
    <mergeCell ref="AH42:AH43"/>
    <mergeCell ref="AF40:AF41"/>
    <mergeCell ref="AE40:AE41"/>
    <mergeCell ref="F40:G41"/>
    <mergeCell ref="M40:M41"/>
    <mergeCell ref="R40:R41"/>
    <mergeCell ref="W40:W41"/>
    <mergeCell ref="F24:H25"/>
    <mergeCell ref="F38:G39"/>
    <mergeCell ref="C38:E39"/>
    <mergeCell ref="F34:G35"/>
    <mergeCell ref="F36:G37"/>
    <mergeCell ref="C40:E40"/>
    <mergeCell ref="C41:E41"/>
    <mergeCell ref="C34:E35"/>
    <mergeCell ref="C36:E37"/>
    <mergeCell ref="I32:L33"/>
    <mergeCell ref="M32:M33"/>
    <mergeCell ref="N30:Q31"/>
    <mergeCell ref="S30:V31"/>
    <mergeCell ref="S38:V39"/>
    <mergeCell ref="R38:R39"/>
    <mergeCell ref="R34:R35"/>
    <mergeCell ref="S34:V35"/>
    <mergeCell ref="M34:M35"/>
    <mergeCell ref="N34:Q35"/>
    <mergeCell ref="S40:V41"/>
    <mergeCell ref="H30:H31"/>
    <mergeCell ref="H32:H33"/>
    <mergeCell ref="S32:V33"/>
    <mergeCell ref="R32:R33"/>
    <mergeCell ref="R36:R37"/>
    <mergeCell ref="N32:Q33"/>
    <mergeCell ref="AA26:AA27"/>
    <mergeCell ref="AA28:AA29"/>
    <mergeCell ref="P42:Q42"/>
    <mergeCell ref="I42:O42"/>
    <mergeCell ref="N40:Q41"/>
    <mergeCell ref="H34:H35"/>
    <mergeCell ref="I38:L39"/>
    <mergeCell ref="N38:Q39"/>
    <mergeCell ref="I36:L37"/>
    <mergeCell ref="M36:M37"/>
    <mergeCell ref="H36:H37"/>
    <mergeCell ref="I34:L35"/>
    <mergeCell ref="H40:H41"/>
    <mergeCell ref="M38:M39"/>
    <mergeCell ref="H38:H39"/>
    <mergeCell ref="I40:L41"/>
    <mergeCell ref="X30:X31"/>
    <mergeCell ref="X32:X33"/>
    <mergeCell ref="X34:X35"/>
    <mergeCell ref="X36:X37"/>
    <mergeCell ref="X38:X39"/>
    <mergeCell ref="X40:X41"/>
    <mergeCell ref="W30:W31"/>
    <mergeCell ref="W38:W39"/>
    <mergeCell ref="X22:X25"/>
    <mergeCell ref="X26:X27"/>
    <mergeCell ref="X28:X29"/>
    <mergeCell ref="F22:H23"/>
    <mergeCell ref="I22:M23"/>
    <mergeCell ref="N22:R23"/>
    <mergeCell ref="S22:W23"/>
    <mergeCell ref="N26:Q27"/>
    <mergeCell ref="S26:V27"/>
    <mergeCell ref="N28:Q29"/>
    <mergeCell ref="M26:M27"/>
    <mergeCell ref="F26:G27"/>
    <mergeCell ref="F28:G29"/>
    <mergeCell ref="S24:W25"/>
    <mergeCell ref="I28:L29"/>
    <mergeCell ref="R28:R29"/>
    <mergeCell ref="S28:V29"/>
    <mergeCell ref="I26:L27"/>
    <mergeCell ref="N24:R25"/>
    <mergeCell ref="H26:H27"/>
    <mergeCell ref="H28:H29"/>
    <mergeCell ref="C28:E29"/>
    <mergeCell ref="C26:E26"/>
    <mergeCell ref="C27:E27"/>
    <mergeCell ref="S36:V37"/>
    <mergeCell ref="I30:L31"/>
    <mergeCell ref="M30:M31"/>
    <mergeCell ref="F59:H59"/>
    <mergeCell ref="I48:M48"/>
    <mergeCell ref="S48:W48"/>
    <mergeCell ref="F51:H51"/>
    <mergeCell ref="F52:H52"/>
    <mergeCell ref="S51:V51"/>
    <mergeCell ref="S52:V52"/>
    <mergeCell ref="F54:H54"/>
    <mergeCell ref="F53:H53"/>
    <mergeCell ref="I53:L53"/>
    <mergeCell ref="S53:V53"/>
    <mergeCell ref="N53:Q53"/>
    <mergeCell ref="N52:Q52"/>
    <mergeCell ref="F48:H48"/>
    <mergeCell ref="I51:L51"/>
    <mergeCell ref="I52:L52"/>
    <mergeCell ref="F49:H50"/>
    <mergeCell ref="I49:L50"/>
    <mergeCell ref="M49:M50"/>
    <mergeCell ref="N49:Q50"/>
    <mergeCell ref="R49:R50"/>
    <mergeCell ref="L61:O61"/>
    <mergeCell ref="L60:O60"/>
    <mergeCell ref="I57:L57"/>
    <mergeCell ref="I54:L54"/>
    <mergeCell ref="S54:V54"/>
    <mergeCell ref="I43:O43"/>
    <mergeCell ref="P43:Q43"/>
    <mergeCell ref="N54:Q54"/>
    <mergeCell ref="N48:R48"/>
    <mergeCell ref="N51:Q51"/>
    <mergeCell ref="I46:N46"/>
    <mergeCell ref="I45:M45"/>
    <mergeCell ref="N45:Q45"/>
    <mergeCell ref="N44:Q44"/>
    <mergeCell ref="I44:M44"/>
    <mergeCell ref="S49:V50"/>
    <mergeCell ref="V60:W60"/>
    <mergeCell ref="C22:E23"/>
    <mergeCell ref="C24:E25"/>
    <mergeCell ref="M28:M29"/>
    <mergeCell ref="R26:R27"/>
    <mergeCell ref="I24:M25"/>
    <mergeCell ref="W32:W33"/>
    <mergeCell ref="R30:R31"/>
    <mergeCell ref="AM32:AM33"/>
    <mergeCell ref="AK26:AK27"/>
    <mergeCell ref="AK28:AK29"/>
    <mergeCell ref="AH32:AH33"/>
    <mergeCell ref="W28:W29"/>
    <mergeCell ref="AH26:AH27"/>
    <mergeCell ref="AH28:AH29"/>
    <mergeCell ref="AK32:AK33"/>
    <mergeCell ref="W26:W27"/>
    <mergeCell ref="AE30:AE31"/>
    <mergeCell ref="AE32:AE33"/>
    <mergeCell ref="AK30:AK31"/>
    <mergeCell ref="AH30:AH31"/>
    <mergeCell ref="Y26:Y27"/>
    <mergeCell ref="Y28:Y29"/>
    <mergeCell ref="Y30:Y31"/>
    <mergeCell ref="AE26:AE27"/>
    <mergeCell ref="AO28:AO29"/>
    <mergeCell ref="AO30:AO31"/>
    <mergeCell ref="AO32:AO33"/>
    <mergeCell ref="AO34:AO35"/>
    <mergeCell ref="W36:W37"/>
    <mergeCell ref="AH36:AH37"/>
    <mergeCell ref="AE36:AE37"/>
    <mergeCell ref="AE38:AE39"/>
    <mergeCell ref="AH38:AH39"/>
    <mergeCell ref="AK36:AK37"/>
    <mergeCell ref="AK34:AK35"/>
    <mergeCell ref="W34:W35"/>
    <mergeCell ref="AE34:AE35"/>
    <mergeCell ref="Y34:Y35"/>
    <mergeCell ref="AA34:AA35"/>
    <mergeCell ref="AM26:AM27"/>
    <mergeCell ref="AM28:AM29"/>
    <mergeCell ref="AM30:AM31"/>
    <mergeCell ref="AM34:AM35"/>
    <mergeCell ref="AE28:AE29"/>
    <mergeCell ref="AQ38:AQ39"/>
    <mergeCell ref="AN38:AN39"/>
    <mergeCell ref="AN36:AN37"/>
    <mergeCell ref="AR32:AR33"/>
    <mergeCell ref="AQ36:AQ37"/>
    <mergeCell ref="AR36:AR37"/>
    <mergeCell ref="AR26:AR27"/>
    <mergeCell ref="AR38:AR39"/>
    <mergeCell ref="AQ26:AQ27"/>
    <mergeCell ref="AQ28:AQ29"/>
    <mergeCell ref="AQ30:AQ31"/>
    <mergeCell ref="AQ32:AQ33"/>
    <mergeCell ref="AQ34:AQ35"/>
    <mergeCell ref="AN28:AN29"/>
    <mergeCell ref="AN30:AN31"/>
    <mergeCell ref="AN34:AN35"/>
    <mergeCell ref="AN32:AN33"/>
    <mergeCell ref="AN26:AN27"/>
    <mergeCell ref="AO26:AO27"/>
    <mergeCell ref="AS38:AS39"/>
    <mergeCell ref="AS32:AS33"/>
    <mergeCell ref="AR34:AR35"/>
    <mergeCell ref="AS34:AS35"/>
    <mergeCell ref="AS30:AS31"/>
    <mergeCell ref="AS26:AS27"/>
    <mergeCell ref="AS28:AS29"/>
    <mergeCell ref="AR30:AR31"/>
    <mergeCell ref="AR28:AR29"/>
    <mergeCell ref="AS36:AS37"/>
  </mergeCells>
  <phoneticPr fontId="2"/>
  <pageMargins left="0.31496062992125984" right="0.23622047244094491" top="0.23622047244094491" bottom="0.19685039370078741" header="0.51181102362204722" footer="0.35433070866141736"/>
  <pageSetup paperSize="9" scale="80" orientation="portrait" horizontalDpi="300" verticalDpi="300" r:id="rId1"/>
  <headerFooter alignWithMargins="0"/>
  <rowBreaks count="1" manualBreakCount="1">
    <brk id="62" max="2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4E1D5-24D8-4540-8EF6-2CB6AEB2278E}">
  <sheetPr>
    <pageSetUpPr fitToPage="1"/>
  </sheetPr>
  <dimension ref="A1:AS68"/>
  <sheetViews>
    <sheetView view="pageBreakPreview" zoomScaleNormal="100" zoomScaleSheetLayoutView="100" workbookViewId="0">
      <selection activeCell="Z9" sqref="Z9"/>
    </sheetView>
  </sheetViews>
  <sheetFormatPr defaultColWidth="2.75" defaultRowHeight="13.5" x14ac:dyDescent="0.15"/>
  <cols>
    <col min="1" max="1" width="5" customWidth="1"/>
    <col min="2" max="2" width="0.625" style="112" customWidth="1"/>
    <col min="3" max="3" width="2.625" customWidth="1"/>
    <col min="4" max="4" width="2.75" customWidth="1"/>
    <col min="5" max="5" width="19.375" customWidth="1"/>
    <col min="6" max="6" width="5.75" customWidth="1"/>
    <col min="7" max="7" width="12.875" customWidth="1"/>
    <col min="8" max="8" width="3.5" customWidth="1"/>
    <col min="9" max="11" width="3.875" customWidth="1"/>
    <col min="12" max="12" width="6.25" customWidth="1"/>
    <col min="13" max="13" width="3.5" customWidth="1"/>
    <col min="14" max="16" width="3.875" customWidth="1"/>
    <col min="17" max="17" width="6" customWidth="1"/>
    <col min="18" max="18" width="3.5" customWidth="1"/>
    <col min="19" max="20" width="3.875" customWidth="1"/>
    <col min="21" max="21" width="4.625" customWidth="1"/>
    <col min="22" max="22" width="6" customWidth="1"/>
    <col min="23" max="23" width="3.5" customWidth="1"/>
    <col min="24" max="24" width="6.25" customWidth="1"/>
    <col min="25" max="25" width="4.125" customWidth="1"/>
    <col min="26" max="26" width="19.125" customWidth="1"/>
    <col min="27" max="28" width="11.75" customWidth="1"/>
    <col min="29" max="29" width="25.375" customWidth="1"/>
    <col min="30" max="44" width="12.625" customWidth="1"/>
  </cols>
  <sheetData>
    <row r="1" spans="1:28" ht="45.75" customHeight="1" thickBot="1" x14ac:dyDescent="0.2">
      <c r="A1" s="7"/>
      <c r="B1" s="111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0.25" customHeight="1" x14ac:dyDescent="0.2">
      <c r="A2" s="119"/>
      <c r="B2" s="120"/>
      <c r="C2" s="121" t="s">
        <v>68</v>
      </c>
      <c r="D2" s="122" t="s">
        <v>112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0"/>
      <c r="X2" s="124"/>
      <c r="Y2" s="7"/>
      <c r="Z2" s="7"/>
      <c r="AA2" s="7"/>
    </row>
    <row r="3" spans="1:28" ht="18.75" customHeight="1" x14ac:dyDescent="0.2">
      <c r="A3" s="53"/>
      <c r="B3" s="54"/>
      <c r="C3" s="55" t="s">
        <v>68</v>
      </c>
      <c r="D3" s="75" t="s">
        <v>103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56"/>
      <c r="Q3" s="56"/>
      <c r="R3" s="56"/>
      <c r="S3" s="56"/>
      <c r="T3" s="56"/>
      <c r="U3" s="56"/>
      <c r="V3" s="57"/>
      <c r="W3" s="54"/>
      <c r="X3" s="58"/>
      <c r="Y3" s="7"/>
      <c r="Z3" s="7"/>
      <c r="AA3" s="7"/>
    </row>
    <row r="4" spans="1:28" ht="18.75" customHeight="1" x14ac:dyDescent="0.2">
      <c r="A4" s="53"/>
      <c r="B4" s="54"/>
      <c r="C4" s="55" t="s">
        <v>68</v>
      </c>
      <c r="D4" s="56" t="s">
        <v>91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  <c r="W4" s="54"/>
      <c r="X4" s="58"/>
      <c r="Y4" s="7"/>
      <c r="Z4" s="7"/>
      <c r="AA4" s="7"/>
    </row>
    <row r="5" spans="1:28" ht="6" customHeight="1" x14ac:dyDescent="0.2">
      <c r="A5" s="53"/>
      <c r="B5" s="54"/>
      <c r="C5" s="5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4"/>
      <c r="X5" s="58"/>
      <c r="Y5" s="7"/>
      <c r="Z5" s="7"/>
      <c r="AA5" s="7"/>
    </row>
    <row r="6" spans="1:28" s="164" customFormat="1" ht="21" customHeight="1" x14ac:dyDescent="0.15">
      <c r="A6" s="60"/>
      <c r="B6" s="134"/>
      <c r="C6" s="212" t="s">
        <v>79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61"/>
      <c r="Y6" s="116"/>
      <c r="Z6" s="62"/>
      <c r="AA6" s="62"/>
    </row>
    <row r="7" spans="1:28" ht="17.25" customHeight="1" x14ac:dyDescent="0.15">
      <c r="A7" s="63"/>
      <c r="B7" s="64"/>
      <c r="C7" s="65">
        <v>1</v>
      </c>
      <c r="D7" s="66" t="s">
        <v>104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7"/>
      <c r="Y7" s="133"/>
      <c r="Z7" s="13"/>
      <c r="AA7" s="13"/>
    </row>
    <row r="8" spans="1:28" ht="17.25" customHeight="1" x14ac:dyDescent="0.15">
      <c r="A8" s="63"/>
      <c r="B8" s="64"/>
      <c r="C8" s="65"/>
      <c r="D8" s="66" t="s">
        <v>102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  <c r="Y8" s="15"/>
      <c r="Z8" s="13"/>
      <c r="AA8" s="13"/>
    </row>
    <row r="9" spans="1:28" ht="17.25" customHeight="1" x14ac:dyDescent="0.15">
      <c r="A9" s="63"/>
      <c r="B9" s="64"/>
      <c r="C9" s="65">
        <v>2</v>
      </c>
      <c r="D9" s="66" t="s">
        <v>115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7"/>
      <c r="Y9" s="15"/>
      <c r="Z9" s="13"/>
      <c r="AA9" s="13"/>
    </row>
    <row r="10" spans="1:28" ht="17.25" customHeight="1" x14ac:dyDescent="0.2">
      <c r="A10" s="63"/>
      <c r="B10" s="64"/>
      <c r="C10" s="65">
        <v>3</v>
      </c>
      <c r="D10" s="68" t="s">
        <v>95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6"/>
      <c r="S10" s="66"/>
      <c r="T10" s="66"/>
      <c r="U10" s="66"/>
      <c r="V10" s="66"/>
      <c r="W10" s="66"/>
      <c r="X10" s="67"/>
      <c r="Y10" s="15"/>
      <c r="Z10" s="13"/>
      <c r="AA10" s="13"/>
    </row>
    <row r="11" spans="1:28" ht="17.25" customHeight="1" x14ac:dyDescent="0.15">
      <c r="A11" s="63"/>
      <c r="B11" s="64"/>
      <c r="C11" s="65">
        <v>4</v>
      </c>
      <c r="D11" s="70" t="s">
        <v>80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  <c r="Y11" s="117"/>
      <c r="Z11" s="14"/>
      <c r="AA11" s="14"/>
    </row>
    <row r="12" spans="1:28" ht="17.25" customHeight="1" x14ac:dyDescent="0.15">
      <c r="A12" s="63"/>
      <c r="B12" s="64"/>
      <c r="C12" s="65"/>
      <c r="D12" s="70" t="s">
        <v>81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2"/>
      <c r="Y12" s="117"/>
      <c r="Z12" s="14"/>
      <c r="AA12" s="14"/>
    </row>
    <row r="13" spans="1:28" ht="17.25" customHeight="1" x14ac:dyDescent="0.15">
      <c r="A13" s="63"/>
      <c r="B13" s="64"/>
      <c r="C13" s="65">
        <v>5</v>
      </c>
      <c r="D13" s="70" t="s">
        <v>90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117"/>
      <c r="Z13" s="14"/>
      <c r="AA13" s="14"/>
    </row>
    <row r="14" spans="1:28" ht="17.25" customHeight="1" x14ac:dyDescent="0.15">
      <c r="A14" s="63"/>
      <c r="B14" s="64"/>
      <c r="C14" s="65"/>
      <c r="D14" s="66" t="s">
        <v>71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7"/>
      <c r="Y14" s="15"/>
      <c r="Z14" s="13"/>
      <c r="AA14" s="13"/>
    </row>
    <row r="15" spans="1:28" ht="18.75" customHeight="1" x14ac:dyDescent="0.15">
      <c r="A15" s="53"/>
      <c r="B15" s="54"/>
      <c r="C15" s="73"/>
      <c r="D15" s="74" t="s">
        <v>67</v>
      </c>
      <c r="E15" s="75" t="s">
        <v>92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57"/>
      <c r="Q15" s="57"/>
      <c r="R15" s="76"/>
      <c r="S15" s="76"/>
      <c r="T15" s="76"/>
      <c r="U15" s="76"/>
      <c r="V15" s="76"/>
      <c r="W15" s="76"/>
      <c r="X15" s="77"/>
      <c r="Y15" s="15"/>
      <c r="Z15" s="13"/>
      <c r="AA15" s="13"/>
    </row>
    <row r="16" spans="1:28" s="164" customFormat="1" ht="17.25" customHeight="1" x14ac:dyDescent="0.15">
      <c r="A16" s="78"/>
      <c r="B16" s="79"/>
      <c r="C16" s="80"/>
      <c r="D16" s="81"/>
      <c r="E16" s="82" t="s">
        <v>82</v>
      </c>
      <c r="F16" s="82"/>
      <c r="G16" s="82"/>
      <c r="H16" s="82"/>
      <c r="I16" s="82"/>
      <c r="J16" s="82"/>
      <c r="K16" s="82"/>
      <c r="L16" s="82"/>
      <c r="M16" s="82"/>
      <c r="N16" s="82"/>
      <c r="O16" s="83"/>
      <c r="P16" s="84"/>
      <c r="Q16" s="84"/>
      <c r="R16" s="84"/>
      <c r="S16" s="84"/>
      <c r="T16" s="84"/>
      <c r="U16" s="84"/>
      <c r="V16" s="84"/>
      <c r="W16" s="84"/>
      <c r="X16" s="85"/>
      <c r="Y16" s="48"/>
      <c r="Z16" s="16"/>
      <c r="AA16" s="16"/>
    </row>
    <row r="17" spans="1:45" s="164" customFormat="1" ht="17.25" customHeight="1" x14ac:dyDescent="0.15">
      <c r="A17" s="78"/>
      <c r="B17" s="79"/>
      <c r="C17" s="157"/>
      <c r="D17" s="87"/>
      <c r="E17" s="82" t="s">
        <v>96</v>
      </c>
      <c r="F17" s="82"/>
      <c r="G17" s="82"/>
      <c r="H17" s="82"/>
      <c r="I17" s="82"/>
      <c r="J17" s="82"/>
      <c r="K17" s="82"/>
      <c r="L17" s="82"/>
      <c r="M17" s="82"/>
      <c r="N17" s="82"/>
      <c r="O17" s="83"/>
      <c r="P17" s="84"/>
      <c r="Q17" s="84"/>
      <c r="R17" s="84"/>
      <c r="S17" s="84"/>
      <c r="T17" s="84"/>
      <c r="U17" s="84"/>
      <c r="V17" s="84"/>
      <c r="W17" s="84"/>
      <c r="X17" s="85"/>
      <c r="Y17" s="48"/>
      <c r="Z17" s="16"/>
      <c r="AA17" s="16"/>
    </row>
    <row r="18" spans="1:45" s="164" customFormat="1" ht="17.25" customHeight="1" x14ac:dyDescent="0.15">
      <c r="A18" s="78"/>
      <c r="B18" s="79"/>
      <c r="C18" s="157"/>
      <c r="D18" s="87"/>
      <c r="E18" s="82" t="s">
        <v>93</v>
      </c>
      <c r="F18" s="82"/>
      <c r="G18" s="82"/>
      <c r="H18" s="82"/>
      <c r="I18" s="82"/>
      <c r="J18" s="82"/>
      <c r="K18" s="82"/>
      <c r="L18" s="82"/>
      <c r="M18" s="82"/>
      <c r="N18" s="82"/>
      <c r="O18" s="83"/>
      <c r="P18" s="84"/>
      <c r="Q18" s="84"/>
      <c r="R18" s="84"/>
      <c r="S18" s="84"/>
      <c r="T18" s="84"/>
      <c r="U18" s="84"/>
      <c r="V18" s="84"/>
      <c r="W18" s="84"/>
      <c r="X18" s="85"/>
      <c r="Y18" s="48"/>
      <c r="Z18" s="16"/>
      <c r="AA18" s="16"/>
    </row>
    <row r="19" spans="1:45" s="164" customFormat="1" ht="17.25" customHeight="1" x14ac:dyDescent="0.15">
      <c r="A19" s="78"/>
      <c r="B19" s="79"/>
      <c r="C19" s="157"/>
      <c r="D19" s="87"/>
      <c r="E19" s="97" t="s">
        <v>94</v>
      </c>
      <c r="F19" s="82"/>
      <c r="G19" s="88"/>
      <c r="H19" s="89"/>
      <c r="I19" s="88"/>
      <c r="J19" s="88"/>
      <c r="K19" s="88"/>
      <c r="L19" s="88"/>
      <c r="M19" s="88"/>
      <c r="N19" s="88"/>
      <c r="O19" s="90"/>
      <c r="P19" s="91"/>
      <c r="Q19" s="91"/>
      <c r="R19" s="91"/>
      <c r="S19" s="91"/>
      <c r="T19" s="91"/>
      <c r="U19" s="91"/>
      <c r="V19" s="91"/>
      <c r="W19" s="91"/>
      <c r="X19" s="92"/>
      <c r="Y19" s="49"/>
      <c r="Z19" s="17"/>
      <c r="AA19" s="17"/>
    </row>
    <row r="20" spans="1:45" s="104" customFormat="1" ht="27" customHeight="1" x14ac:dyDescent="0.15">
      <c r="A20" s="93"/>
      <c r="B20" s="94"/>
      <c r="C20" s="95"/>
      <c r="D20" s="96"/>
      <c r="E20" s="148"/>
      <c r="F20" s="97"/>
      <c r="G20" s="98"/>
      <c r="H20" s="99"/>
      <c r="I20" s="98"/>
      <c r="J20" s="98"/>
      <c r="K20" s="98"/>
      <c r="L20" s="98"/>
      <c r="M20" s="98"/>
      <c r="N20" s="98"/>
      <c r="O20" s="100"/>
      <c r="P20" s="101"/>
      <c r="Q20" s="101"/>
      <c r="R20" s="101"/>
      <c r="S20" s="101"/>
      <c r="T20" s="101"/>
      <c r="U20" s="101"/>
      <c r="V20" s="101"/>
      <c r="W20" s="101"/>
      <c r="X20" s="102"/>
      <c r="Y20" s="118"/>
      <c r="Z20" s="103"/>
      <c r="AA20" s="103"/>
    </row>
    <row r="21" spans="1:45" s="164" customFormat="1" ht="26.25" customHeight="1" thickBot="1" x14ac:dyDescent="0.2">
      <c r="A21" s="213" t="s">
        <v>83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5"/>
      <c r="Y21" s="62"/>
      <c r="Z21" s="62"/>
      <c r="AA21" s="62"/>
    </row>
    <row r="22" spans="1:45" ht="14.25" customHeight="1" thickBot="1" x14ac:dyDescent="0.2">
      <c r="A22" s="53"/>
      <c r="B22" s="54"/>
      <c r="C22" s="216" t="s">
        <v>64</v>
      </c>
      <c r="D22" s="216"/>
      <c r="E22" s="216"/>
      <c r="F22" s="216" t="s">
        <v>87</v>
      </c>
      <c r="G22" s="216"/>
      <c r="H22" s="216"/>
      <c r="I22" s="217" t="s">
        <v>65</v>
      </c>
      <c r="J22" s="217"/>
      <c r="K22" s="217"/>
      <c r="L22" s="217"/>
      <c r="M22" s="217"/>
      <c r="N22" s="217" t="s">
        <v>66</v>
      </c>
      <c r="O22" s="217"/>
      <c r="P22" s="217"/>
      <c r="Q22" s="217"/>
      <c r="R22" s="217"/>
      <c r="S22" s="216" t="s">
        <v>70</v>
      </c>
      <c r="T22" s="216"/>
      <c r="U22" s="216"/>
      <c r="V22" s="216"/>
      <c r="W22" s="216"/>
      <c r="X22" s="310" t="s">
        <v>105</v>
      </c>
      <c r="Y22" s="45"/>
      <c r="Z22" s="45"/>
      <c r="AA22" s="45"/>
      <c r="AB22" s="45"/>
    </row>
    <row r="23" spans="1:45" ht="13.5" customHeight="1" thickBot="1" x14ac:dyDescent="0.2">
      <c r="A23" s="53"/>
      <c r="B23" s="54"/>
      <c r="C23" s="216"/>
      <c r="D23" s="216"/>
      <c r="E23" s="216"/>
      <c r="F23" s="216"/>
      <c r="G23" s="216"/>
      <c r="H23" s="216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6"/>
      <c r="T23" s="216"/>
      <c r="U23" s="216"/>
      <c r="V23" s="216"/>
      <c r="W23" s="216"/>
      <c r="X23" s="319"/>
      <c r="Y23" s="45"/>
      <c r="Z23" s="45"/>
      <c r="AA23" s="45"/>
      <c r="AB23" s="45"/>
    </row>
    <row r="24" spans="1:45" ht="13.5" customHeight="1" thickBot="1" x14ac:dyDescent="0.2">
      <c r="A24" s="53"/>
      <c r="B24" s="54"/>
      <c r="C24" s="218" t="s">
        <v>101</v>
      </c>
      <c r="D24" s="218"/>
      <c r="E24" s="218"/>
      <c r="F24" s="219" t="s">
        <v>114</v>
      </c>
      <c r="G24" s="219"/>
      <c r="H24" s="219"/>
      <c r="I24" s="220" t="s">
        <v>113</v>
      </c>
      <c r="J24" s="220"/>
      <c r="K24" s="220"/>
      <c r="L24" s="220"/>
      <c r="M24" s="220"/>
      <c r="N24" s="220" t="s">
        <v>113</v>
      </c>
      <c r="O24" s="220"/>
      <c r="P24" s="220"/>
      <c r="Q24" s="220"/>
      <c r="R24" s="220"/>
      <c r="S24" s="221" t="s">
        <v>85</v>
      </c>
      <c r="T24" s="222"/>
      <c r="U24" s="222"/>
      <c r="V24" s="222"/>
      <c r="W24" s="222"/>
      <c r="X24" s="319"/>
      <c r="Y24" s="46"/>
      <c r="Z24" s="46"/>
      <c r="AA24" s="46"/>
      <c r="AB24" s="46"/>
      <c r="AE24" t="s">
        <v>59</v>
      </c>
      <c r="AF24" s="44"/>
      <c r="AP24" t="s">
        <v>4</v>
      </c>
    </row>
    <row r="25" spans="1:45" ht="27" customHeight="1" thickBot="1" x14ac:dyDescent="0.2">
      <c r="A25" s="53"/>
      <c r="B25" s="54"/>
      <c r="C25" s="218"/>
      <c r="D25" s="218"/>
      <c r="E25" s="218"/>
      <c r="F25" s="219"/>
      <c r="G25" s="219"/>
      <c r="H25" s="219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2"/>
      <c r="T25" s="222"/>
      <c r="U25" s="222"/>
      <c r="V25" s="222"/>
      <c r="W25" s="222"/>
      <c r="X25" s="319"/>
      <c r="Y25" s="46"/>
      <c r="Z25" s="46"/>
      <c r="AA25" s="46"/>
      <c r="AB25" s="46"/>
      <c r="AC25" s="152" t="s">
        <v>17</v>
      </c>
      <c r="AD25" s="136" t="s">
        <v>106</v>
      </c>
      <c r="AE25" s="2"/>
      <c r="AF25" s="152" t="s">
        <v>17</v>
      </c>
      <c r="AG25" s="130" t="s">
        <v>89</v>
      </c>
      <c r="AH25" s="37" t="s">
        <v>53</v>
      </c>
      <c r="AI25" s="29" t="s">
        <v>18</v>
      </c>
      <c r="AJ25" s="38" t="s">
        <v>55</v>
      </c>
      <c r="AK25" s="36" t="s">
        <v>52</v>
      </c>
      <c r="AL25" s="39" t="s">
        <v>56</v>
      </c>
      <c r="AM25" s="52" t="s">
        <v>77</v>
      </c>
      <c r="AN25" s="33" t="s">
        <v>78</v>
      </c>
      <c r="AO25" s="33" t="s">
        <v>88</v>
      </c>
      <c r="AQ25" s="2"/>
      <c r="AR25" s="33" t="s">
        <v>54</v>
      </c>
      <c r="AS25" s="3" t="s">
        <v>21</v>
      </c>
    </row>
    <row r="26" spans="1:45" ht="16.5" customHeight="1" thickBot="1" x14ac:dyDescent="0.2">
      <c r="A26" s="53"/>
      <c r="B26" s="54"/>
      <c r="C26" s="223" t="s">
        <v>49</v>
      </c>
      <c r="D26" s="223"/>
      <c r="E26" s="223"/>
      <c r="F26" s="224"/>
      <c r="G26" s="224"/>
      <c r="H26" s="225" t="s">
        <v>24</v>
      </c>
      <c r="I26" s="226"/>
      <c r="J26" s="226"/>
      <c r="K26" s="226"/>
      <c r="L26" s="226"/>
      <c r="M26" s="227" t="s">
        <v>0</v>
      </c>
      <c r="N26" s="226"/>
      <c r="O26" s="228"/>
      <c r="P26" s="228"/>
      <c r="Q26" s="228"/>
      <c r="R26" s="227" t="s">
        <v>0</v>
      </c>
      <c r="S26" s="226"/>
      <c r="T26" s="228"/>
      <c r="U26" s="228"/>
      <c r="V26" s="228"/>
      <c r="W26" s="227" t="s">
        <v>0</v>
      </c>
      <c r="X26" s="312"/>
      <c r="Y26" s="247"/>
      <c r="Z26" s="247"/>
      <c r="AA26" s="247"/>
      <c r="AB26" s="47"/>
      <c r="AC26" s="138">
        <f>IF(I26&lt;=550999,0,IF(I26&lt;=1618999,I26-550000,IF(I26&lt;=1619999,1069000,IF(I26&lt;=1621999,1070000,IF(I26&lt;=1623999,1072000,IF(I26&lt;=1627999,1074000,IF(I26&lt;=1799999,ROUNDDOWN(I26/4,-3)*4*0.6+100000,(IF(I26&lt;=3599999,ROUNDDOWN(I26/4,-3)*4*0.7-80000,IF(I26&lt;=6599999,ROUNDDOWN(I26/4,-3)*4*0.8-440000,IF(I26&lt;=8499999,I26*0.9-1100000,I26-1950000)))))))))))</f>
        <v>0</v>
      </c>
      <c r="AD26" s="141">
        <f>AC26*0.3</f>
        <v>0</v>
      </c>
      <c r="AE26" s="240" t="s">
        <v>5</v>
      </c>
      <c r="AF26" s="144">
        <f>IF(X26=1,AD26,AC26)</f>
        <v>0</v>
      </c>
      <c r="AG26" s="8">
        <f>IF(AF26&lt;=0,0,IF(AJ26&lt;=0,0,(IF(AF26&lt;=100000,AF26,100000))))</f>
        <v>0</v>
      </c>
      <c r="AH26" s="231">
        <f>AF26-AF27</f>
        <v>0</v>
      </c>
      <c r="AI26" s="8">
        <f>IF(N26&lt;=600000,0,IF(N26&lt;=1299999,N26-600000,IF(N26&lt;=4099999,N26*0.75-275000,IF(N26&lt;=7699999,N26*0.85-685000,IF(N26&lt;=9999999,N26*0.95-1455000, IF(N26&gt;=10000000,N26-1955000))))))</f>
        <v>0</v>
      </c>
      <c r="AJ26" s="151">
        <f>IF(F26&lt;=64,AI26,AI27)</f>
        <v>0</v>
      </c>
      <c r="AK26" s="246">
        <f>S26</f>
        <v>0</v>
      </c>
      <c r="AL26" s="151">
        <f>AH26+AJ26+AK26</f>
        <v>0</v>
      </c>
      <c r="AM26" s="244">
        <f>IF(AL26&lt;=24000000, 430000, IF(AL26&lt;=24500000, 290000, IF(AL26&lt;=25000000, 150000, 0)))</f>
        <v>430000</v>
      </c>
      <c r="AN26" s="233" t="str">
        <f>IF((AL26-AM26)&lt;0,"",(AL26-AM26))</f>
        <v/>
      </c>
      <c r="AO26" s="246">
        <f>IF(I26&gt;=550001,1,IF(AND(F26&gt;=60,F26&lt;=64,N26&gt;=600001),1,IF(AND(F26&gt;=65,N26&gt;=1250001),1,0)))</f>
        <v>0</v>
      </c>
      <c r="AQ26" s="229" t="s">
        <v>5</v>
      </c>
      <c r="AR26" s="231" t="str">
        <f>IF(AND(F26&gt;=40,F26&lt;=64),(AN26),"")</f>
        <v/>
      </c>
      <c r="AS26" s="237">
        <f>IF(F26&lt;40,0,IF(F26&lt;=64,1,IF(F26&gt;65,0,)))</f>
        <v>0</v>
      </c>
    </row>
    <row r="27" spans="1:45" ht="16.5" customHeight="1" thickBot="1" x14ac:dyDescent="0.2">
      <c r="A27" s="53"/>
      <c r="B27" s="54"/>
      <c r="C27" s="238" t="s">
        <v>84</v>
      </c>
      <c r="D27" s="238"/>
      <c r="E27" s="238"/>
      <c r="F27" s="224"/>
      <c r="G27" s="224"/>
      <c r="H27" s="225"/>
      <c r="I27" s="226"/>
      <c r="J27" s="226"/>
      <c r="K27" s="226"/>
      <c r="L27" s="226"/>
      <c r="M27" s="227"/>
      <c r="N27" s="228"/>
      <c r="O27" s="228"/>
      <c r="P27" s="228"/>
      <c r="Q27" s="228"/>
      <c r="R27" s="227"/>
      <c r="S27" s="228"/>
      <c r="T27" s="228"/>
      <c r="U27" s="228"/>
      <c r="V27" s="228"/>
      <c r="W27" s="227"/>
      <c r="X27" s="318"/>
      <c r="Y27" s="248"/>
      <c r="Z27" s="309"/>
      <c r="AA27" s="309"/>
      <c r="AB27" s="47"/>
      <c r="AC27" s="139">
        <f>IF((AG26+AG27-100000)&lt;=0, 0, (AG26+AG27-100000))</f>
        <v>0</v>
      </c>
      <c r="AD27" s="140">
        <f>AC27</f>
        <v>0</v>
      </c>
      <c r="AE27" s="241"/>
      <c r="AF27" s="145">
        <f>IF(X27=1,AD27,AC27)</f>
        <v>0</v>
      </c>
      <c r="AG27" s="153">
        <f>IF(AF26&lt;=0,0,IF(AJ26&lt;=0,0,(IF(AJ26&lt;=100000,AJ26,100000))))</f>
        <v>0</v>
      </c>
      <c r="AH27" s="232"/>
      <c r="AI27" s="153">
        <f>IF(N26&lt;=1100000,0,IF(N26&lt;=3299999,N26-1100000,IF(N26&lt;=4099999,N26*0.75-275000,IF(N26&lt;=7699999,N26*0.85-685000,IF(N26&lt;=9999999,N26*0.95-1455000, IF(N26&gt;=10000000,N26-1955000))))))</f>
        <v>0</v>
      </c>
      <c r="AJ27" s="35">
        <f>IF(F26&lt;=64,AI26,IF(AI27-150000&lt;=0,0,AI27-150000))</f>
        <v>0</v>
      </c>
      <c r="AK27" s="246"/>
      <c r="AL27" s="35">
        <f>AH26+AJ27+AK26</f>
        <v>0</v>
      </c>
      <c r="AM27" s="245"/>
      <c r="AN27" s="234"/>
      <c r="AO27" s="246"/>
      <c r="AQ27" s="230"/>
      <c r="AR27" s="232"/>
      <c r="AS27" s="237"/>
    </row>
    <row r="28" spans="1:45" ht="16.5" customHeight="1" thickBot="1" x14ac:dyDescent="0.2">
      <c r="A28" s="53"/>
      <c r="B28" s="54"/>
      <c r="C28" s="239" t="s">
        <v>43</v>
      </c>
      <c r="D28" s="239"/>
      <c r="E28" s="239"/>
      <c r="F28" s="224"/>
      <c r="G28" s="224"/>
      <c r="H28" s="225" t="s">
        <v>24</v>
      </c>
      <c r="I28" s="226"/>
      <c r="J28" s="226"/>
      <c r="K28" s="226"/>
      <c r="L28" s="226"/>
      <c r="M28" s="227" t="s">
        <v>0</v>
      </c>
      <c r="N28" s="226"/>
      <c r="O28" s="228"/>
      <c r="P28" s="228"/>
      <c r="Q28" s="228"/>
      <c r="R28" s="227" t="s">
        <v>0</v>
      </c>
      <c r="S28" s="226"/>
      <c r="T28" s="228"/>
      <c r="U28" s="228"/>
      <c r="V28" s="228"/>
      <c r="W28" s="227" t="s">
        <v>0</v>
      </c>
      <c r="X28" s="312"/>
      <c r="Y28" s="247"/>
      <c r="Z28" s="247"/>
      <c r="AA28" s="247"/>
      <c r="AB28" s="47"/>
      <c r="AC28" s="138">
        <f>IF(I28&lt;=550999,0,IF(I28&lt;=1618999,I28-550000,IF(I28&lt;=1619999,1069000,IF(I28&lt;=1621999,1070000,IF(I28&lt;=1623999,1072000,IF(I28&lt;=1627999,1074000,IF(I28&lt;=1799999,ROUNDDOWN(I28/4,-3)*4*0.6+100000,(IF(I28&lt;=3599999,ROUNDDOWN(I28/4,-3)*4*0.7-80000,IF(I28&lt;=6599999,ROUNDDOWN(I28/4,-3)*4*0.8-440000,IF(I28&lt;=8499999,I28*0.9-1100000,I28-1950000)))))))))))</f>
        <v>0</v>
      </c>
      <c r="AD28" s="142">
        <f>AC28*0.3</f>
        <v>0</v>
      </c>
      <c r="AE28" s="240" t="s">
        <v>6</v>
      </c>
      <c r="AF28" s="144">
        <f>IF(X28=1,AD28,AC28)</f>
        <v>0</v>
      </c>
      <c r="AG28" s="8">
        <f>IF(AF28&lt;=0,0,IF(AJ28&lt;=0,0,(IF(AF28&lt;=100000,AF28,100000))))</f>
        <v>0</v>
      </c>
      <c r="AH28" s="231">
        <f>AF28-AF29</f>
        <v>0</v>
      </c>
      <c r="AI28" s="8">
        <f>IF(N28&lt;=600000,0,IF(N28&lt;=1299999,N28-600000,IF(N28&lt;=4099999,N28*0.75-275000,IF(N28&lt;=7699999,N28*0.85-685000,IF(N28&lt;=9999999,N28*0.95-1455000, IF(N28&gt;=10000000,N28-1955000))))))</f>
        <v>0</v>
      </c>
      <c r="AJ28" s="151">
        <f>IF(F28&lt;=64,AI28,AI29)</f>
        <v>0</v>
      </c>
      <c r="AK28" s="246">
        <f>S28</f>
        <v>0</v>
      </c>
      <c r="AL28" s="151">
        <f>AH28+AJ28+AK28</f>
        <v>0</v>
      </c>
      <c r="AM28" s="244">
        <f>IF(AL28&lt;=24000000, 430000, IF(AL28&lt;=24500000, 290000, IF(AL28&lt;=25000000, 150000, 0)))</f>
        <v>430000</v>
      </c>
      <c r="AN28" s="233" t="str">
        <f>IF((AL28-AM28)&lt;0,"",(AL28-AM28))</f>
        <v/>
      </c>
      <c r="AO28" s="246">
        <f t="shared" ref="AO28" si="0">IF(I28&gt;=550001,1,IF(AND(F28&gt;=60,F28&lt;=64,N28&gt;=600001),1,IF(AND(F28&gt;=65,N28&gt;=1250001),1,0)))</f>
        <v>0</v>
      </c>
      <c r="AQ28" s="229" t="s">
        <v>6</v>
      </c>
      <c r="AR28" s="231" t="str">
        <f>IF(AND(F28&gt;=40,F28&lt;=64),(AN28),"")</f>
        <v/>
      </c>
      <c r="AS28" s="237">
        <f>IF(F28&lt;40,0,IF(F28&lt;=64,1,IF(F28&gt;65,0,)))</f>
        <v>0</v>
      </c>
    </row>
    <row r="29" spans="1:45" ht="16.5" customHeight="1" thickBot="1" x14ac:dyDescent="0.2">
      <c r="A29" s="53"/>
      <c r="B29" s="54"/>
      <c r="C29" s="239"/>
      <c r="D29" s="239"/>
      <c r="E29" s="239"/>
      <c r="F29" s="224"/>
      <c r="G29" s="224"/>
      <c r="H29" s="225"/>
      <c r="I29" s="226"/>
      <c r="J29" s="226"/>
      <c r="K29" s="226"/>
      <c r="L29" s="226"/>
      <c r="M29" s="227"/>
      <c r="N29" s="228"/>
      <c r="O29" s="228"/>
      <c r="P29" s="228"/>
      <c r="Q29" s="228"/>
      <c r="R29" s="227"/>
      <c r="S29" s="228"/>
      <c r="T29" s="228"/>
      <c r="U29" s="228"/>
      <c r="V29" s="228"/>
      <c r="W29" s="227"/>
      <c r="X29" s="318"/>
      <c r="Y29" s="248"/>
      <c r="Z29" s="309"/>
      <c r="AA29" s="309"/>
      <c r="AB29" s="47"/>
      <c r="AC29" s="139">
        <f>IF((AG28+AG29-100000)&lt;=0, 0, (AG28+AG29-100000))</f>
        <v>0</v>
      </c>
      <c r="AD29" s="140">
        <f>AC29</f>
        <v>0</v>
      </c>
      <c r="AE29" s="241"/>
      <c r="AF29" s="145">
        <f t="shared" ref="AF29:AF39" si="1">IF(X29=1,AD29,AC29)</f>
        <v>0</v>
      </c>
      <c r="AG29" s="153">
        <f>IF(AF28&lt;=0,0,IF(AJ28&lt;=0,0,(IF(AJ28&lt;=100000,AJ28,100000))))</f>
        <v>0</v>
      </c>
      <c r="AH29" s="232"/>
      <c r="AI29" s="153">
        <f>IF(N28&lt;=1100000,0,IF(N28&lt;=3299999,N28-1100000,IF(N28&lt;=4099999,N28*0.75-275000,IF(N28&lt;=7699999,N28*0.85-685000,IF(N28&lt;=9999999,N28*0.95-1455000, IF(N28&gt;=10000000,N28-1955000))))))</f>
        <v>0</v>
      </c>
      <c r="AJ29" s="35">
        <f>IF(F28&lt;=64,AI28,IF(AI29-150000&lt;=0,0,AI29-150000))</f>
        <v>0</v>
      </c>
      <c r="AK29" s="246"/>
      <c r="AL29" s="35">
        <f>AH28+AJ29+AK28</f>
        <v>0</v>
      </c>
      <c r="AM29" s="245"/>
      <c r="AN29" s="234"/>
      <c r="AO29" s="246"/>
      <c r="AQ29" s="230"/>
      <c r="AR29" s="232"/>
      <c r="AS29" s="237"/>
    </row>
    <row r="30" spans="1:45" ht="16.5" customHeight="1" thickBot="1" x14ac:dyDescent="0.2">
      <c r="A30" s="53"/>
      <c r="B30" s="54"/>
      <c r="C30" s="239" t="s">
        <v>44</v>
      </c>
      <c r="D30" s="239"/>
      <c r="E30" s="239"/>
      <c r="F30" s="224"/>
      <c r="G30" s="224"/>
      <c r="H30" s="225" t="s">
        <v>24</v>
      </c>
      <c r="I30" s="226"/>
      <c r="J30" s="226"/>
      <c r="K30" s="226"/>
      <c r="L30" s="226"/>
      <c r="M30" s="227" t="s">
        <v>0</v>
      </c>
      <c r="N30" s="226"/>
      <c r="O30" s="228"/>
      <c r="P30" s="228"/>
      <c r="Q30" s="228"/>
      <c r="R30" s="227" t="s">
        <v>0</v>
      </c>
      <c r="S30" s="226"/>
      <c r="T30" s="228"/>
      <c r="U30" s="228"/>
      <c r="V30" s="228"/>
      <c r="W30" s="227" t="s">
        <v>0</v>
      </c>
      <c r="X30" s="312"/>
      <c r="Y30" s="247"/>
      <c r="Z30" s="247"/>
      <c r="AA30" s="247"/>
      <c r="AB30" s="47"/>
      <c r="AC30" s="138">
        <f>IF(I30&lt;=550999,0,IF(I30&lt;=1618999,I30-550000,IF(I30&lt;=1619999,1069000,IF(I30&lt;=1621999,1070000,IF(I30&lt;=1623999,1072000,IF(I30&lt;=1627999,1074000,IF(I30&lt;=1799999,ROUNDDOWN(I30/4,-3)*4*0.6+100000,(IF(I30&lt;=3599999,ROUNDDOWN(I30/4,-3)*4*0.7-80000,IF(I30&lt;=6599999,ROUNDDOWN(I30/4,-3)*4*0.8-440000,IF(I30&lt;=8499999,I30*0.9-1100000,I30-1950000)))))))))))</f>
        <v>0</v>
      </c>
      <c r="AD30" s="142">
        <f>AC30*0.3</f>
        <v>0</v>
      </c>
      <c r="AE30" s="240" t="s">
        <v>7</v>
      </c>
      <c r="AF30" s="144">
        <f t="shared" si="1"/>
        <v>0</v>
      </c>
      <c r="AG30" s="8">
        <f>IF(AF30&lt;=0,0,IF(AJ30&lt;=0,0,(IF(AF30&lt;=100000,AF30,100000))))</f>
        <v>0</v>
      </c>
      <c r="AH30" s="231">
        <f>AF30-AF31</f>
        <v>0</v>
      </c>
      <c r="AI30" s="8">
        <f>IF(N30&lt;=600000,0,IF(N30&lt;=1299999,N30-600000,IF(N30&lt;=4099999,N30*0.75-275000,IF(N30&lt;=7699999,N30*0.85-685000,IF(N30&lt;=9999999,N30*0.95-1455000, IF(N30&gt;=10000000,N30-1955000))))))</f>
        <v>0</v>
      </c>
      <c r="AJ30" s="151">
        <f>IF(F30&lt;=64,AI30,AI31)</f>
        <v>0</v>
      </c>
      <c r="AK30" s="246">
        <f>S30</f>
        <v>0</v>
      </c>
      <c r="AL30" s="151">
        <f>AH30+AJ30+AK30</f>
        <v>0</v>
      </c>
      <c r="AM30" s="244">
        <f>IF(AL30&lt;=24000000, 430000, IF(AL30&lt;=24500000, 290000, IF(AL30&lt;=25000000, 150000, 0)))</f>
        <v>430000</v>
      </c>
      <c r="AN30" s="233" t="str">
        <f>IF((AL30-AM30)&lt;0,"",(AL30-AM30))</f>
        <v/>
      </c>
      <c r="AO30" s="246">
        <f t="shared" ref="AO30" si="2">IF(I30&gt;=550001,1,IF(AND(F30&gt;=60,F30&lt;=64,N30&gt;=600001),1,IF(AND(F30&gt;=65,N30&gt;=1250001),1,0)))</f>
        <v>0</v>
      </c>
      <c r="AQ30" s="229" t="s">
        <v>7</v>
      </c>
      <c r="AR30" s="231" t="str">
        <f>IF(AND(F30&gt;=40,F30&lt;=64),(AN30),"")</f>
        <v/>
      </c>
      <c r="AS30" s="237">
        <f>IF(F30&lt;40,0,IF(F30&lt;=64,1,IF(F30&gt;65,0,)))</f>
        <v>0</v>
      </c>
    </row>
    <row r="31" spans="1:45" ht="16.5" customHeight="1" thickBot="1" x14ac:dyDescent="0.2">
      <c r="A31" s="53"/>
      <c r="B31" s="54"/>
      <c r="C31" s="239"/>
      <c r="D31" s="239"/>
      <c r="E31" s="239"/>
      <c r="F31" s="224"/>
      <c r="G31" s="224"/>
      <c r="H31" s="225"/>
      <c r="I31" s="226"/>
      <c r="J31" s="226"/>
      <c r="K31" s="226"/>
      <c r="L31" s="226"/>
      <c r="M31" s="227"/>
      <c r="N31" s="228"/>
      <c r="O31" s="228"/>
      <c r="P31" s="228"/>
      <c r="Q31" s="228"/>
      <c r="R31" s="227"/>
      <c r="S31" s="228"/>
      <c r="T31" s="228"/>
      <c r="U31" s="228"/>
      <c r="V31" s="228"/>
      <c r="W31" s="227"/>
      <c r="X31" s="318"/>
      <c r="Y31" s="248"/>
      <c r="Z31" s="309"/>
      <c r="AA31" s="309"/>
      <c r="AB31" s="47"/>
      <c r="AC31" s="139">
        <f>IF((AG30+AG31-100000)&lt;=0, 0, (AG30+AG31-100000))</f>
        <v>0</v>
      </c>
      <c r="AD31" s="140">
        <f>AC31</f>
        <v>0</v>
      </c>
      <c r="AE31" s="241"/>
      <c r="AF31" s="145">
        <f t="shared" si="1"/>
        <v>0</v>
      </c>
      <c r="AG31" s="153">
        <f>IF(AF30&lt;=0,0,IF(AJ30&lt;=0,0,(IF(AJ30&lt;=100000,AJ30,100000))))</f>
        <v>0</v>
      </c>
      <c r="AH31" s="232"/>
      <c r="AI31" s="153">
        <f>IF(N30&lt;=1100000,0,IF(N30&lt;=3299999,N30-1100000,IF(N30&lt;=4099999,N30*0.75-275000,IF(N30&lt;=7699999,N30*0.85-685000,IF(N30&lt;=9999999,N30*0.95-1455000, IF(N30&gt;=10000000,N30-1955000))))))</f>
        <v>0</v>
      </c>
      <c r="AJ31" s="35">
        <f>IF(F30&lt;=64,AI30,IF(AI31-150000&lt;=0,0,AI31-150000))</f>
        <v>0</v>
      </c>
      <c r="AK31" s="246"/>
      <c r="AL31" s="35">
        <f>AH30+AJ31+AK30</f>
        <v>0</v>
      </c>
      <c r="AM31" s="245"/>
      <c r="AN31" s="234"/>
      <c r="AO31" s="246"/>
      <c r="AQ31" s="230"/>
      <c r="AR31" s="232"/>
      <c r="AS31" s="237"/>
    </row>
    <row r="32" spans="1:45" ht="16.5" customHeight="1" thickBot="1" x14ac:dyDescent="0.2">
      <c r="A32" s="53"/>
      <c r="B32" s="54"/>
      <c r="C32" s="239" t="s">
        <v>45</v>
      </c>
      <c r="D32" s="239"/>
      <c r="E32" s="239"/>
      <c r="F32" s="224"/>
      <c r="G32" s="224"/>
      <c r="H32" s="225" t="s">
        <v>24</v>
      </c>
      <c r="I32" s="226"/>
      <c r="J32" s="226"/>
      <c r="K32" s="226"/>
      <c r="L32" s="226"/>
      <c r="M32" s="227" t="s">
        <v>0</v>
      </c>
      <c r="N32" s="226"/>
      <c r="O32" s="228"/>
      <c r="P32" s="228"/>
      <c r="Q32" s="228"/>
      <c r="R32" s="227" t="s">
        <v>0</v>
      </c>
      <c r="S32" s="226"/>
      <c r="T32" s="228"/>
      <c r="U32" s="228"/>
      <c r="V32" s="228"/>
      <c r="W32" s="227" t="s">
        <v>0</v>
      </c>
      <c r="X32" s="312"/>
      <c r="Y32" s="247"/>
      <c r="Z32" s="247"/>
      <c r="AA32" s="247"/>
      <c r="AB32" s="47"/>
      <c r="AC32" s="138">
        <f>IF(I32&lt;=550999,0,IF(I32&lt;=1618999,I32-550000,IF(I32&lt;=1619999,1069000,IF(I32&lt;=1621999,1070000,IF(I32&lt;=1623999,1072000,IF(I32&lt;=1627999,1074000,IF(I32&lt;=1799999,ROUNDDOWN(I32/4,-3)*4*0.6+100000,(IF(I32&lt;=3599999,ROUNDDOWN(I32/4,-3)*4*0.7-80000,IF(I32&lt;=6599999,ROUNDDOWN(I32/4,-3)*4*0.8-440000,IF(I32&lt;=8499999,I32*0.9-1100000,I32-1950000)))))))))))</f>
        <v>0</v>
      </c>
      <c r="AD32" s="142">
        <f>AC32*0.3</f>
        <v>0</v>
      </c>
      <c r="AE32" s="240" t="s">
        <v>8</v>
      </c>
      <c r="AF32" s="144">
        <f t="shared" si="1"/>
        <v>0</v>
      </c>
      <c r="AG32" s="8">
        <f>IF(AF32&lt;=0,0,IF(AJ32&lt;=0,0,(IF(AF32&lt;=100000,AF32,100000))))</f>
        <v>0</v>
      </c>
      <c r="AH32" s="231">
        <f>AF32-AF33</f>
        <v>0</v>
      </c>
      <c r="AI32" s="8">
        <f>IF(N32&lt;=600000,0,IF(N32&lt;=1299999,N32-600000,IF(N32&lt;=4099999,N32*0.75-275000,IF(N32&lt;=7699999,N32*0.85-685000,IF(N32&lt;=9999999,N32*0.95-1455000, IF(N32&gt;=10000000,N32-1955000))))))</f>
        <v>0</v>
      </c>
      <c r="AJ32" s="151">
        <f>IF(F32&lt;=64,AI32,AI33)</f>
        <v>0</v>
      </c>
      <c r="AK32" s="246">
        <f>S32</f>
        <v>0</v>
      </c>
      <c r="AL32" s="151">
        <f>AH32+AJ32+AK32</f>
        <v>0</v>
      </c>
      <c r="AM32" s="244">
        <f>IF(AL32&lt;=24000000, 430000, IF(AL32&lt;=24500000, 290000, IF(AL32&lt;=25000000, 150000, 0)))</f>
        <v>430000</v>
      </c>
      <c r="AN32" s="233" t="str">
        <f>IF((AL32-AM32)&lt;0,"",(AL32-AM32))</f>
        <v/>
      </c>
      <c r="AO32" s="246">
        <f t="shared" ref="AO32" si="3">IF(I32&gt;=550001,1,IF(AND(F32&gt;=60,F32&lt;=64,N32&gt;=600001),1,IF(AND(F32&gt;=65,N32&gt;=1250001),1,0)))</f>
        <v>0</v>
      </c>
      <c r="AQ32" s="229" t="s">
        <v>8</v>
      </c>
      <c r="AR32" s="231" t="str">
        <f>IF(AND(F32&gt;=40,F32&lt;=64),(AN32),"")</f>
        <v/>
      </c>
      <c r="AS32" s="237">
        <f>IF(F32&lt;40,0,IF(F32&lt;=64,1,IF(F32&gt;65,0,)))</f>
        <v>0</v>
      </c>
    </row>
    <row r="33" spans="1:45" ht="16.5" customHeight="1" thickBot="1" x14ac:dyDescent="0.2">
      <c r="A33" s="53"/>
      <c r="B33" s="54"/>
      <c r="C33" s="239"/>
      <c r="D33" s="239"/>
      <c r="E33" s="239"/>
      <c r="F33" s="224"/>
      <c r="G33" s="224"/>
      <c r="H33" s="225"/>
      <c r="I33" s="226"/>
      <c r="J33" s="226"/>
      <c r="K33" s="226"/>
      <c r="L33" s="226"/>
      <c r="M33" s="227"/>
      <c r="N33" s="228"/>
      <c r="O33" s="228"/>
      <c r="P33" s="228"/>
      <c r="Q33" s="228"/>
      <c r="R33" s="227"/>
      <c r="S33" s="228"/>
      <c r="T33" s="228"/>
      <c r="U33" s="228"/>
      <c r="V33" s="228"/>
      <c r="W33" s="227"/>
      <c r="X33" s="318"/>
      <c r="Y33" s="248"/>
      <c r="Z33" s="309"/>
      <c r="AA33" s="309"/>
      <c r="AB33" s="47"/>
      <c r="AC33" s="139">
        <f>IF((AG32+AG33-100000)&lt;=0, 0, (AG32+AG33-100000))</f>
        <v>0</v>
      </c>
      <c r="AD33" s="140">
        <f>AC33</f>
        <v>0</v>
      </c>
      <c r="AE33" s="241"/>
      <c r="AF33" s="145">
        <f t="shared" si="1"/>
        <v>0</v>
      </c>
      <c r="AG33" s="153">
        <f>IF(AF32&lt;=0,0,IF(AJ32&lt;=0,0,(IF(AJ32&lt;=100000,AJ32,100000))))</f>
        <v>0</v>
      </c>
      <c r="AH33" s="232"/>
      <c r="AI33" s="153">
        <f>IF(N32&lt;=1100000,0,IF(N32&lt;=3299999,N32-1100000,IF(N32&lt;=4099999,N32*0.75-275000,IF(N32&lt;=7699999,N32*0.85-685000,IF(N32&lt;=9999999,N32*0.95-1455000, IF(N32&gt;=10000000,N32-1955000))))))</f>
        <v>0</v>
      </c>
      <c r="AJ33" s="35">
        <f>IF(F32&lt;=64,AI32,IF(AI33-150000&lt;=0,0,AI33-150000))</f>
        <v>0</v>
      </c>
      <c r="AK33" s="246"/>
      <c r="AL33" s="35">
        <f>AH32+AJ33+AK32</f>
        <v>0</v>
      </c>
      <c r="AM33" s="245"/>
      <c r="AN33" s="234"/>
      <c r="AO33" s="246"/>
      <c r="AQ33" s="230"/>
      <c r="AR33" s="232"/>
      <c r="AS33" s="237"/>
    </row>
    <row r="34" spans="1:45" ht="16.5" customHeight="1" thickBot="1" x14ac:dyDescent="0.2">
      <c r="A34" s="53"/>
      <c r="B34" s="54"/>
      <c r="C34" s="239" t="s">
        <v>46</v>
      </c>
      <c r="D34" s="239"/>
      <c r="E34" s="239"/>
      <c r="F34" s="224"/>
      <c r="G34" s="224"/>
      <c r="H34" s="225" t="s">
        <v>24</v>
      </c>
      <c r="I34" s="226"/>
      <c r="J34" s="226"/>
      <c r="K34" s="226"/>
      <c r="L34" s="226"/>
      <c r="M34" s="227" t="s">
        <v>0</v>
      </c>
      <c r="N34" s="226"/>
      <c r="O34" s="228"/>
      <c r="P34" s="228"/>
      <c r="Q34" s="228"/>
      <c r="R34" s="227" t="s">
        <v>0</v>
      </c>
      <c r="S34" s="226"/>
      <c r="T34" s="228"/>
      <c r="U34" s="228"/>
      <c r="V34" s="228"/>
      <c r="W34" s="227" t="s">
        <v>0</v>
      </c>
      <c r="X34" s="312"/>
      <c r="Y34" s="247"/>
      <c r="Z34" s="247"/>
      <c r="AA34" s="247"/>
      <c r="AB34" s="47"/>
      <c r="AC34" s="138">
        <f>IF(I34&lt;=550999,0,IF(I34&lt;=1618999,I34-550000,IF(I34&lt;=1619999,1069000,IF(I34&lt;=1621999,1070000,IF(I34&lt;=1623999,1072000,IF(I34&lt;=1627999,1074000,IF(I34&lt;=1799999,ROUNDDOWN(I34/4,-3)*4*0.6+100000,(IF(I34&lt;=3599999,ROUNDDOWN(I34/4,-3)*4*0.7-80000,IF(I34&lt;=6599999,ROUNDDOWN(I34/4,-3)*4*0.8-440000,IF(I34&lt;=8499999,I34*0.9-1100000,I34-1950000)))))))))))</f>
        <v>0</v>
      </c>
      <c r="AD34" s="142">
        <f>AC34*0.3</f>
        <v>0</v>
      </c>
      <c r="AE34" s="240" t="s">
        <v>9</v>
      </c>
      <c r="AF34" s="144">
        <f t="shared" si="1"/>
        <v>0</v>
      </c>
      <c r="AG34" s="8">
        <f>IF(AF34&lt;=0,0,IF(AJ34&lt;=0,0,(IF(AF34&lt;=100000,AF34,100000))))</f>
        <v>0</v>
      </c>
      <c r="AH34" s="231">
        <f>AF34-AF35</f>
        <v>0</v>
      </c>
      <c r="AI34" s="8">
        <f>IF(N34&lt;=600000,0,IF(N34&lt;=1299999,N34-600000,IF(N34&lt;=4099999,N34*0.75-275000,IF(N34&lt;=7699999,N34*0.85-685000,IF(N34&lt;=9999999,N34*0.95-1455000, IF(N34&gt;=10000000,N34-1955000))))))</f>
        <v>0</v>
      </c>
      <c r="AJ34" s="151">
        <f>IF(F34&lt;=64,AI34,AI35)</f>
        <v>0</v>
      </c>
      <c r="AK34" s="246">
        <f>S34</f>
        <v>0</v>
      </c>
      <c r="AL34" s="151">
        <f>AH34+AJ34+AK34</f>
        <v>0</v>
      </c>
      <c r="AM34" s="244">
        <f>IF(AL34&lt;=24000000, 430000, IF(AL34&lt;=24500000, 290000, IF(AL34&lt;=25000000, 150000, 0)))</f>
        <v>430000</v>
      </c>
      <c r="AN34" s="233" t="str">
        <f>IF((AL34-AM34)&lt;0,"",(AL34-AM34))</f>
        <v/>
      </c>
      <c r="AO34" s="246">
        <f t="shared" ref="AO34" si="4">IF(I34&gt;=550001,1,IF(AND(F34&gt;=60,F34&lt;=64,N34&gt;=600001),1,IF(AND(F34&gt;=65,N34&gt;=1250001),1,0)))</f>
        <v>0</v>
      </c>
      <c r="AQ34" s="229" t="s">
        <v>9</v>
      </c>
      <c r="AR34" s="231" t="str">
        <f>IF(AND(F34&gt;=40,F34&lt;=64),(AN34),"")</f>
        <v/>
      </c>
      <c r="AS34" s="237">
        <f>IF(F34&lt;40,0,IF(F34&lt;=64,1,IF(F34&gt;65,0,)))</f>
        <v>0</v>
      </c>
    </row>
    <row r="35" spans="1:45" ht="16.5" customHeight="1" thickBot="1" x14ac:dyDescent="0.2">
      <c r="A35" s="53"/>
      <c r="B35" s="54"/>
      <c r="C35" s="239"/>
      <c r="D35" s="239"/>
      <c r="E35" s="239"/>
      <c r="F35" s="224"/>
      <c r="G35" s="224"/>
      <c r="H35" s="225"/>
      <c r="I35" s="226"/>
      <c r="J35" s="226"/>
      <c r="K35" s="226"/>
      <c r="L35" s="226"/>
      <c r="M35" s="227"/>
      <c r="N35" s="228"/>
      <c r="O35" s="228"/>
      <c r="P35" s="228"/>
      <c r="Q35" s="228"/>
      <c r="R35" s="227"/>
      <c r="S35" s="228"/>
      <c r="T35" s="228"/>
      <c r="U35" s="228"/>
      <c r="V35" s="228"/>
      <c r="W35" s="227"/>
      <c r="X35" s="318"/>
      <c r="Y35" s="248"/>
      <c r="Z35" s="309"/>
      <c r="AA35" s="309"/>
      <c r="AB35" s="47"/>
      <c r="AC35" s="139">
        <f>IF((AG34+AG35-100000)&lt;=0, 0, (AG34+AG35-100000))</f>
        <v>0</v>
      </c>
      <c r="AD35" s="140">
        <f>AC35</f>
        <v>0</v>
      </c>
      <c r="AE35" s="241"/>
      <c r="AF35" s="145">
        <f t="shared" si="1"/>
        <v>0</v>
      </c>
      <c r="AG35" s="153">
        <f>IF(AF34&lt;=0,0,IF(AJ34&lt;=0,0,(IF(AJ34&lt;=100000,AJ34,100000))))</f>
        <v>0</v>
      </c>
      <c r="AH35" s="232"/>
      <c r="AI35" s="153">
        <f>IF(N34&lt;=1100000,0,IF(N34&lt;=3299999,N34-1100000,IF(N34&lt;=4099999,N34*0.75-275000,IF(N34&lt;=7699999,N34*0.85-685000,IF(N34&lt;=9999999,N34*0.95-1455000, IF(N34&gt;=10000000,N34-1955000))))))</f>
        <v>0</v>
      </c>
      <c r="AJ35" s="35">
        <f>IF(F34&lt;=64,AI34,IF(AI35-150000&lt;=0,0,AI35-150000))</f>
        <v>0</v>
      </c>
      <c r="AK35" s="246"/>
      <c r="AL35" s="35">
        <f>AH34+AJ35+AK34</f>
        <v>0</v>
      </c>
      <c r="AM35" s="245"/>
      <c r="AN35" s="234"/>
      <c r="AO35" s="246"/>
      <c r="AQ35" s="230"/>
      <c r="AR35" s="232"/>
      <c r="AS35" s="237"/>
    </row>
    <row r="36" spans="1:45" ht="16.5" customHeight="1" thickBot="1" x14ac:dyDescent="0.2">
      <c r="A36" s="53"/>
      <c r="B36" s="54"/>
      <c r="C36" s="239" t="s">
        <v>47</v>
      </c>
      <c r="D36" s="239"/>
      <c r="E36" s="239"/>
      <c r="F36" s="224"/>
      <c r="G36" s="224"/>
      <c r="H36" s="225" t="s">
        <v>24</v>
      </c>
      <c r="I36" s="226"/>
      <c r="J36" s="226"/>
      <c r="K36" s="226"/>
      <c r="L36" s="226"/>
      <c r="M36" s="227" t="s">
        <v>0</v>
      </c>
      <c r="N36" s="226"/>
      <c r="O36" s="228"/>
      <c r="P36" s="228"/>
      <c r="Q36" s="228"/>
      <c r="R36" s="227" t="s">
        <v>0</v>
      </c>
      <c r="S36" s="226"/>
      <c r="T36" s="228"/>
      <c r="U36" s="228"/>
      <c r="V36" s="228"/>
      <c r="W36" s="227" t="s">
        <v>0</v>
      </c>
      <c r="X36" s="312"/>
      <c r="Y36" s="247"/>
      <c r="Z36" s="247"/>
      <c r="AA36" s="247"/>
      <c r="AB36" s="47"/>
      <c r="AC36" s="138">
        <f>IF(I36&lt;=550999,0,IF(I36&lt;=1618999,I36-550000,IF(I36&lt;=1619999,1069000,IF(I36&lt;=1621999,1070000,IF(I36&lt;=1623999,1072000,IF(I36&lt;=1627999,1074000,IF(I36&lt;=1799999,ROUNDDOWN(I36/4,-3)*4*0.6+100000,(IF(I36&lt;=3599999,ROUNDDOWN(I36/4,-3)*4*0.7-80000,IF(I36&lt;=6599999,ROUNDDOWN(I36/4,-3)*4*0.8-440000,IF(I36&lt;=8499999,I36*0.9-1100000,I36-1950000)))))))))))</f>
        <v>0</v>
      </c>
      <c r="AD36" s="142">
        <f>AC36*0.3</f>
        <v>0</v>
      </c>
      <c r="AE36" s="240" t="s">
        <v>10</v>
      </c>
      <c r="AF36" s="144">
        <f t="shared" si="1"/>
        <v>0</v>
      </c>
      <c r="AG36" s="8">
        <f>IF(AF36&lt;=0,0,IF(AJ36&lt;=0,0,(IF(AF36&lt;=100000,AF36,100000))))</f>
        <v>0</v>
      </c>
      <c r="AH36" s="231">
        <f>AF36-AF37</f>
        <v>0</v>
      </c>
      <c r="AI36" s="8">
        <f>IF(N36&lt;=600000,0,IF(N36&lt;=1299999,N36-600000,IF(N36&lt;=4099999,N36*0.75-275000,IF(N36&lt;=7699999,N36*0.85-685000,IF(N36&lt;=9999999,N36*0.95-1455000, IF(N36&gt;=10000000,N36-1955000))))))</f>
        <v>0</v>
      </c>
      <c r="AJ36" s="151">
        <f>IF(F36&lt;=64,AI36,AI37)</f>
        <v>0</v>
      </c>
      <c r="AK36" s="246">
        <f>S36</f>
        <v>0</v>
      </c>
      <c r="AL36" s="151">
        <f>AH36+AJ36+AK36</f>
        <v>0</v>
      </c>
      <c r="AM36" s="244">
        <f>IF(AL36&lt;=24000000, 430000, IF(AL36&lt;=24500000, 290000, IF(AL36&lt;=25000000, 150000, 0)))</f>
        <v>430000</v>
      </c>
      <c r="AN36" s="233" t="str">
        <f>IF((AL36-AM36)&lt;0,"",(AL36-AM36))</f>
        <v/>
      </c>
      <c r="AO36" s="246">
        <f t="shared" ref="AO36" si="5">IF(I36&gt;=550001,1,IF(AND(F36&gt;=60,F36&lt;=64,N36&gt;=600001),1,IF(AND(F36&gt;=65,N36&gt;=1250001),1,0)))</f>
        <v>0</v>
      </c>
      <c r="AQ36" s="252" t="s">
        <v>10</v>
      </c>
      <c r="AR36" s="231" t="str">
        <f>IF(AND(F36&gt;=40,F36&lt;=64),(AN36),"")</f>
        <v/>
      </c>
      <c r="AS36" s="237">
        <f>IF(F36&lt;40,0,IF(F36&lt;=64,1,IF(F36&gt;65,0,)))</f>
        <v>0</v>
      </c>
    </row>
    <row r="37" spans="1:45" ht="16.5" customHeight="1" thickBot="1" x14ac:dyDescent="0.2">
      <c r="A37" s="53"/>
      <c r="B37" s="54"/>
      <c r="C37" s="239"/>
      <c r="D37" s="239"/>
      <c r="E37" s="239"/>
      <c r="F37" s="224"/>
      <c r="G37" s="224"/>
      <c r="H37" s="225"/>
      <c r="I37" s="226"/>
      <c r="J37" s="226"/>
      <c r="K37" s="226"/>
      <c r="L37" s="226"/>
      <c r="M37" s="227"/>
      <c r="N37" s="228"/>
      <c r="O37" s="228"/>
      <c r="P37" s="228"/>
      <c r="Q37" s="228"/>
      <c r="R37" s="227"/>
      <c r="S37" s="228"/>
      <c r="T37" s="228"/>
      <c r="U37" s="228"/>
      <c r="V37" s="228"/>
      <c r="W37" s="227"/>
      <c r="X37" s="318"/>
      <c r="Y37" s="248"/>
      <c r="Z37" s="309"/>
      <c r="AA37" s="309"/>
      <c r="AB37" s="47"/>
      <c r="AC37" s="139">
        <f>IF((AG36+AG37-100000)&lt;=0, 0, (AG36+AG37-100000))</f>
        <v>0</v>
      </c>
      <c r="AD37" s="140">
        <f>AC37</f>
        <v>0</v>
      </c>
      <c r="AE37" s="241"/>
      <c r="AF37" s="145">
        <f t="shared" si="1"/>
        <v>0</v>
      </c>
      <c r="AG37" s="153">
        <f>IF(AF36&lt;=0,0,IF(AJ36&lt;=0,0,(IF(AJ36&lt;=100000,AJ36,100000))))</f>
        <v>0</v>
      </c>
      <c r="AH37" s="232"/>
      <c r="AI37" s="153">
        <f>IF(N36&lt;=1100000,0,IF(N36&lt;=3299999,N36-1100000,IF(N36&lt;=4099999,N36*0.75-275000,IF(N36&lt;=7699999,N36*0.85-685000,IF(N36&lt;=9999999,N36*0.95-1455000, IF(N36&gt;=10000000,N36-1955000))))))</f>
        <v>0</v>
      </c>
      <c r="AJ37" s="35">
        <f>IF(F36&lt;=64,AI36,IF(AI37-150000&lt;=0,0,AI37-150000))</f>
        <v>0</v>
      </c>
      <c r="AK37" s="246"/>
      <c r="AL37" s="35">
        <f>AH36+AJ37+AK36</f>
        <v>0</v>
      </c>
      <c r="AM37" s="245"/>
      <c r="AN37" s="234"/>
      <c r="AO37" s="246"/>
      <c r="AQ37" s="252"/>
      <c r="AR37" s="232"/>
      <c r="AS37" s="237"/>
    </row>
    <row r="38" spans="1:45" ht="16.5" customHeight="1" thickBot="1" x14ac:dyDescent="0.2">
      <c r="A38" s="53"/>
      <c r="B38" s="54"/>
      <c r="C38" s="239" t="s">
        <v>48</v>
      </c>
      <c r="D38" s="239"/>
      <c r="E38" s="239"/>
      <c r="F38" s="224"/>
      <c r="G38" s="224"/>
      <c r="H38" s="225" t="s">
        <v>24</v>
      </c>
      <c r="I38" s="226"/>
      <c r="J38" s="226"/>
      <c r="K38" s="226"/>
      <c r="L38" s="226"/>
      <c r="M38" s="227" t="s">
        <v>0</v>
      </c>
      <c r="N38" s="226"/>
      <c r="O38" s="228"/>
      <c r="P38" s="228"/>
      <c r="Q38" s="228"/>
      <c r="R38" s="227" t="s">
        <v>0</v>
      </c>
      <c r="S38" s="226"/>
      <c r="T38" s="228"/>
      <c r="U38" s="228"/>
      <c r="V38" s="228"/>
      <c r="W38" s="227" t="s">
        <v>0</v>
      </c>
      <c r="X38" s="312"/>
      <c r="Y38" s="247"/>
      <c r="Z38" s="247"/>
      <c r="AA38" s="247"/>
      <c r="AB38" s="47"/>
      <c r="AC38" s="138">
        <f>IF(I38&lt;=550999,0,IF(I38&lt;=1618999,I38-550000,IF(I38&lt;=1619999,1069000,IF(I38&lt;=1621999,1070000,IF(I38&lt;=1623999,1072000,IF(I38&lt;=1627999,1074000,IF(I38&lt;=1799999,ROUNDDOWN(I38/4,-3)*4*0.6+100000,(IF(I38&lt;=3599999,ROUNDDOWN(I38/4,-3)*4*0.7-80000,IF(I38&lt;=6599999,ROUNDDOWN(I38/4,-3)*4*0.8-440000,IF(I38&lt;=8499999,I38*0.9-1100000,I38-1950000)))))))))))</f>
        <v>0</v>
      </c>
      <c r="AD38" s="142">
        <f>AC38*0.3</f>
        <v>0</v>
      </c>
      <c r="AE38" s="240" t="s">
        <v>25</v>
      </c>
      <c r="AF38" s="144">
        <f t="shared" si="1"/>
        <v>0</v>
      </c>
      <c r="AG38" s="8">
        <f>IF(AF38&lt;=0,0,IF(AJ38&lt;=0,0,(IF(AF38&lt;=100000,AF38,100000))))</f>
        <v>0</v>
      </c>
      <c r="AH38" s="231">
        <f>AF38-AF39</f>
        <v>0</v>
      </c>
      <c r="AI38" s="8">
        <f>IF(N38&lt;=600000,0,IF(N38&lt;=1299999,N38-600000,IF(N38&lt;=4099999,N38*0.75-275000,IF(N38&lt;=7699999,N38*0.85-685000,IF(N38&lt;=9999999,N38*0.95-1455000, IF(N38&gt;=10000000,N38-1955000))))))</f>
        <v>0</v>
      </c>
      <c r="AJ38" s="151">
        <f>IF(F38&lt;=64,AI38,AI39)</f>
        <v>0</v>
      </c>
      <c r="AK38" s="246">
        <f>S38</f>
        <v>0</v>
      </c>
      <c r="AL38" s="151">
        <f>AH38+AJ38+AK38</f>
        <v>0</v>
      </c>
      <c r="AM38" s="244">
        <f>IF(AL38&lt;=24000000, 430000, IF(AL38&lt;=24500000, 290000, IF(AL38&lt;=25000000, 150000, 0)))</f>
        <v>430000</v>
      </c>
      <c r="AN38" s="233" t="str">
        <f>IF((AL38-AM38)&lt;0,"",(AL38-AM38))</f>
        <v/>
      </c>
      <c r="AO38" s="246">
        <f>IF(I38&gt;=550001,1,IF(AND(F38&gt;=60,F38&lt;=64,N38&gt;=600001),1,IF(AND(F38&gt;=65,N38&gt;=1250001),1,0)))</f>
        <v>0</v>
      </c>
      <c r="AQ38" s="252" t="s">
        <v>25</v>
      </c>
      <c r="AR38" s="231" t="str">
        <f>IF(AND(F38&gt;=40,F38&lt;=64),(AN38),"")</f>
        <v/>
      </c>
      <c r="AS38" s="237">
        <f>IF(F38&lt;40,0,IF(F38&lt;=64,1,IF(F38&gt;65,0,)))</f>
        <v>0</v>
      </c>
    </row>
    <row r="39" spans="1:45" ht="16.5" customHeight="1" thickBot="1" x14ac:dyDescent="0.2">
      <c r="A39" s="53"/>
      <c r="B39" s="54"/>
      <c r="C39" s="239"/>
      <c r="D39" s="239"/>
      <c r="E39" s="239"/>
      <c r="F39" s="224"/>
      <c r="G39" s="224"/>
      <c r="H39" s="225"/>
      <c r="I39" s="226"/>
      <c r="J39" s="226"/>
      <c r="K39" s="226"/>
      <c r="L39" s="226"/>
      <c r="M39" s="227"/>
      <c r="N39" s="228"/>
      <c r="O39" s="228"/>
      <c r="P39" s="228"/>
      <c r="Q39" s="228"/>
      <c r="R39" s="227"/>
      <c r="S39" s="228"/>
      <c r="T39" s="228"/>
      <c r="U39" s="228"/>
      <c r="V39" s="228"/>
      <c r="W39" s="227"/>
      <c r="X39" s="318"/>
      <c r="Y39" s="248"/>
      <c r="Z39" s="309"/>
      <c r="AA39" s="309"/>
      <c r="AB39" s="47"/>
      <c r="AC39" s="139">
        <f>IF((AG38+AG39-100000)&lt;=0, 0, (AG38+AG39-100000))</f>
        <v>0</v>
      </c>
      <c r="AD39" s="140">
        <f>AC39</f>
        <v>0</v>
      </c>
      <c r="AE39" s="241"/>
      <c r="AF39" s="145">
        <f t="shared" si="1"/>
        <v>0</v>
      </c>
      <c r="AG39" s="153">
        <f>IF(AF38&lt;=0,0,IF(AJ38&lt;=0,0,(IF(AJ38&lt;=100000,AJ38,100000))))</f>
        <v>0</v>
      </c>
      <c r="AH39" s="232"/>
      <c r="AI39" s="153">
        <f>IF(N38&lt;=1100000,0,IF(N38&lt;=3299999,N38-1100000,IF(N38&lt;=4099999,N38*0.75-275000,IF(N38&lt;=7699999,N38*0.85-685000,IF(N38&lt;=9999999,N38*0.95-1455000, IF(N38&gt;=10000000,N38-1955000))))))</f>
        <v>0</v>
      </c>
      <c r="AJ39" s="35">
        <f>IF(F38&lt;=64,AI38,IF(AI39-150000&lt;=0,0,AI39-150000))</f>
        <v>0</v>
      </c>
      <c r="AK39" s="246"/>
      <c r="AL39" s="35">
        <f>AH38+AJ39+AK38</f>
        <v>0</v>
      </c>
      <c r="AM39" s="245"/>
      <c r="AN39" s="234"/>
      <c r="AO39" s="246"/>
      <c r="AQ39" s="252"/>
      <c r="AR39" s="232"/>
      <c r="AS39" s="237"/>
    </row>
    <row r="40" spans="1:45" ht="16.5" customHeight="1" thickBot="1" x14ac:dyDescent="0.2">
      <c r="A40" s="53"/>
      <c r="B40" s="54"/>
      <c r="C40" s="253" t="s">
        <v>97</v>
      </c>
      <c r="D40" s="254"/>
      <c r="E40" s="254"/>
      <c r="F40" s="224"/>
      <c r="G40" s="224"/>
      <c r="H40" s="225" t="s">
        <v>24</v>
      </c>
      <c r="I40" s="256"/>
      <c r="J40" s="256"/>
      <c r="K40" s="256"/>
      <c r="L40" s="256"/>
      <c r="M40" s="227" t="s">
        <v>0</v>
      </c>
      <c r="N40" s="256"/>
      <c r="O40" s="257"/>
      <c r="P40" s="257"/>
      <c r="Q40" s="257"/>
      <c r="R40" s="227" t="s">
        <v>0</v>
      </c>
      <c r="S40" s="226"/>
      <c r="T40" s="228"/>
      <c r="U40" s="228"/>
      <c r="V40" s="228"/>
      <c r="W40" s="227" t="s">
        <v>0</v>
      </c>
      <c r="X40" s="312">
        <f>SUM(X26:X39)</f>
        <v>0</v>
      </c>
      <c r="Y40" s="264"/>
      <c r="Z40" s="264"/>
      <c r="AA40" s="264"/>
      <c r="AB40" s="47"/>
      <c r="AC40" s="265"/>
      <c r="AD40" s="141"/>
      <c r="AE40" s="240" t="s">
        <v>19</v>
      </c>
      <c r="AF40" s="260"/>
      <c r="AG40" s="162"/>
      <c r="AH40" s="233">
        <f>SUM(AH26:AH39)</f>
        <v>0</v>
      </c>
      <c r="AI40" s="260"/>
      <c r="AJ40" s="34">
        <f>AJ26+AJ28+AJ30+AJ32+AJ34+AJ36+AJ38</f>
        <v>0</v>
      </c>
      <c r="AK40" s="233">
        <f>SUM(AK26:AK39)</f>
        <v>0</v>
      </c>
      <c r="AL40" s="34">
        <f>AL26+AL28+AL30+AL32+AL34+AL36+AL38</f>
        <v>0</v>
      </c>
      <c r="AM40" s="258"/>
      <c r="AN40" s="233">
        <f>SUM(AN26:AN39)</f>
        <v>0</v>
      </c>
      <c r="AO40" s="260"/>
      <c r="AQ40" s="152" t="s">
        <v>19</v>
      </c>
      <c r="AR40" s="154">
        <f>SUM(AR26:AR39)</f>
        <v>0</v>
      </c>
      <c r="AS40" s="150">
        <f>SUM(AS26:AS39)</f>
        <v>0</v>
      </c>
    </row>
    <row r="41" spans="1:45" ht="16.5" customHeight="1" thickBot="1" x14ac:dyDescent="0.2">
      <c r="A41" s="53"/>
      <c r="B41" s="54"/>
      <c r="C41" s="262" t="s">
        <v>57</v>
      </c>
      <c r="D41" s="263"/>
      <c r="E41" s="263"/>
      <c r="F41" s="224"/>
      <c r="G41" s="224"/>
      <c r="H41" s="225"/>
      <c r="I41" s="256"/>
      <c r="J41" s="256"/>
      <c r="K41" s="256"/>
      <c r="L41" s="256"/>
      <c r="M41" s="227"/>
      <c r="N41" s="257"/>
      <c r="O41" s="257"/>
      <c r="P41" s="257"/>
      <c r="Q41" s="257"/>
      <c r="R41" s="227"/>
      <c r="S41" s="228"/>
      <c r="T41" s="228"/>
      <c r="U41" s="228"/>
      <c r="V41" s="228"/>
      <c r="W41" s="227"/>
      <c r="X41" s="318"/>
      <c r="Y41" s="267"/>
      <c r="Z41" s="268"/>
      <c r="AA41" s="264"/>
      <c r="AB41" s="47"/>
      <c r="AC41" s="266"/>
      <c r="AD41" s="137"/>
      <c r="AE41" s="241"/>
      <c r="AF41" s="261"/>
      <c r="AG41" s="163"/>
      <c r="AH41" s="234"/>
      <c r="AI41" s="261"/>
      <c r="AJ41" s="153">
        <f>AJ27+AJ29+AJ31+AJ33+AJ35+AJ37+AJ39</f>
        <v>0</v>
      </c>
      <c r="AK41" s="234"/>
      <c r="AL41" s="153">
        <f>AL27+AL29+AL31+AL33+AL35+AL37+AL39</f>
        <v>0</v>
      </c>
      <c r="AM41" s="259"/>
      <c r="AN41" s="234"/>
      <c r="AO41" s="261"/>
    </row>
    <row r="42" spans="1:45" ht="18" customHeight="1" thickBot="1" x14ac:dyDescent="0.2">
      <c r="A42" s="53"/>
      <c r="B42" s="54"/>
      <c r="C42" s="76"/>
      <c r="D42" s="76"/>
      <c r="E42" s="76"/>
      <c r="F42" s="76"/>
      <c r="G42" s="76"/>
      <c r="H42" s="76"/>
      <c r="I42" s="278" t="s">
        <v>30</v>
      </c>
      <c r="J42" s="278"/>
      <c r="K42" s="278"/>
      <c r="L42" s="278"/>
      <c r="M42" s="278"/>
      <c r="N42" s="278"/>
      <c r="O42" s="278"/>
      <c r="P42" s="279">
        <f>COUNT(F26:G39)</f>
        <v>0</v>
      </c>
      <c r="Q42" s="279"/>
      <c r="R42" s="161" t="s">
        <v>11</v>
      </c>
      <c r="S42" s="76"/>
      <c r="T42" s="76"/>
      <c r="U42" s="76"/>
      <c r="V42" s="76"/>
      <c r="W42" s="76"/>
      <c r="X42" s="77"/>
      <c r="Y42" s="15"/>
      <c r="Z42" s="13"/>
      <c r="AA42" s="13"/>
      <c r="AB42" s="13"/>
      <c r="AC42" s="138">
        <f>IF(F40&lt;=550999,0,IF(F40&lt;=1618999,F40-550000,IF(F40&lt;=1619999,1069000,IF(F40&lt;=1621999,1070000,IF(F40&lt;=1623999,1072000,IF(F40&lt;=1627999,1074000,IF(F40&lt;=1799999,ROUNDDOWN(F40/4,-3)*4*0.6+100000,(IF(F40&lt;=3599999,ROUNDDOWN(F40/4,-3)*4*0.7-80000,IF(F40&lt;=6599999,ROUNDDOWN(F40/4,-3)*4*0.8-440000,IF(F40&lt;=8499999,F40*0.9-1100000,F40-1950000)))))))))))</f>
        <v>0</v>
      </c>
      <c r="AD42" s="142"/>
      <c r="AE42" s="240" t="s">
        <v>50</v>
      </c>
      <c r="AF42" s="8">
        <f>IF(I40&lt;=550999,0,IF(I40&lt;=1618999,I40-550000,IF(I40&lt;=1619999,1069000,IF(I40&lt;=1621999,1070000,IF(I40&lt;=1623999,1072000,IF(I40&lt;=1627999,1074000,IF(I40&lt;=1799999,ROUNDDOWN(I40/4,-3)*4*0.6+100000,(IF(I40&lt;=3599999,ROUNDDOWN(I40/4,-3)*4*0.7-80000,IF(I40&lt;=6599999,ROUNDDOWN(I40/4,-3)*4*0.8-440000,IF(I40&lt;=8499999,I40*0.9-1100000,I40-1950000)))))))))))</f>
        <v>0</v>
      </c>
      <c r="AG42" s="8">
        <f>IF(AF42&lt;=0,0,IF(AJ42&lt;=0,0,(IF(AF42&lt;=100000,AF42,100000))))</f>
        <v>0</v>
      </c>
      <c r="AH42" s="231">
        <f>AF42-AF43</f>
        <v>0</v>
      </c>
      <c r="AI42" s="8">
        <f>IF(N40&lt;=600000,0,IF(N40&lt;=1299999,N40-600000,IF(N40&lt;=4099999,N40*0.75-275000,IF(N40&lt;=7699999,N40*0.85-685000,IF(N40&lt;=9999999,N40*0.95-1455000, IF(N40&gt;=10000000,N40-1955000))))))</f>
        <v>0</v>
      </c>
      <c r="AJ42" s="151">
        <f>IF(F40&lt;=64,AI42,AI43)</f>
        <v>0</v>
      </c>
      <c r="AK42" s="246">
        <f>S40</f>
        <v>0</v>
      </c>
      <c r="AL42" s="151"/>
      <c r="AO42" s="246">
        <f>IF(AH42&gt;0, 1, IF(AJ43&gt;0, 1, 0))</f>
        <v>0</v>
      </c>
    </row>
    <row r="43" spans="1:45" ht="18" customHeight="1" thickBot="1" x14ac:dyDescent="0.2">
      <c r="A43" s="53"/>
      <c r="B43" s="54"/>
      <c r="C43" s="76"/>
      <c r="D43" s="76"/>
      <c r="E43" s="76"/>
      <c r="F43" s="76"/>
      <c r="G43" s="76"/>
      <c r="H43" s="76"/>
      <c r="I43" s="273" t="s">
        <v>72</v>
      </c>
      <c r="J43" s="273"/>
      <c r="K43" s="273"/>
      <c r="L43" s="273"/>
      <c r="M43" s="273"/>
      <c r="N43" s="273"/>
      <c r="O43" s="273"/>
      <c r="P43" s="274">
        <f>AS40</f>
        <v>0</v>
      </c>
      <c r="Q43" s="275"/>
      <c r="R43" s="158" t="s">
        <v>11</v>
      </c>
      <c r="S43" s="57" t="s">
        <v>31</v>
      </c>
      <c r="T43" s="76"/>
      <c r="U43" s="76"/>
      <c r="V43" s="76"/>
      <c r="W43" s="76"/>
      <c r="X43" s="77"/>
      <c r="Y43" s="13"/>
      <c r="Z43" s="13"/>
      <c r="AA43" s="13"/>
      <c r="AB43" s="13"/>
      <c r="AC43" s="139">
        <f>IF((AD42+AD43-100000)&lt;=0, 0, (AD42+AD43-100000))</f>
        <v>0</v>
      </c>
      <c r="AD43" s="143"/>
      <c r="AE43" s="241"/>
      <c r="AF43" s="153">
        <f>IF((AG42+AG43-100000)&lt;=0, 0, (AG42+AG43-100000))</f>
        <v>0</v>
      </c>
      <c r="AG43" s="153">
        <f>IF(AF42&lt;=0,0,IF(AJ42&lt;=0,0,(IF(AJ42&lt;=100000,AJ42,100000))))</f>
        <v>0</v>
      </c>
      <c r="AH43" s="232"/>
      <c r="AI43" s="153">
        <f>IF(N40&lt;=1100000,0,IF(N40&lt;=3299999,N40-1100000,IF(N40&lt;=4099999,N40*0.75-275000,IF(N40&lt;=7699999,N40*0.85-685000,IF(N40&lt;=9999999,N40*0.95-1455000, IF(N40&gt;=10000000,N40-1955000))))))</f>
        <v>0</v>
      </c>
      <c r="AJ43" s="35">
        <f>IF(F40&lt;=64,AI42,IF(AI43-150000&lt;=0,0,AI43-150000))</f>
        <v>0</v>
      </c>
      <c r="AK43" s="246"/>
      <c r="AL43" s="35">
        <f>AH42+AJ43+AK42</f>
        <v>0</v>
      </c>
      <c r="AO43" s="246"/>
    </row>
    <row r="44" spans="1:45" ht="18" customHeight="1" thickBot="1" x14ac:dyDescent="0.2">
      <c r="A44" s="53"/>
      <c r="B44" s="54"/>
      <c r="C44" s="76"/>
      <c r="D44" s="76"/>
      <c r="E44" s="76"/>
      <c r="F44" s="76"/>
      <c r="G44" s="76"/>
      <c r="H44" s="76"/>
      <c r="I44" s="276" t="s">
        <v>73</v>
      </c>
      <c r="J44" s="276"/>
      <c r="K44" s="276"/>
      <c r="L44" s="276"/>
      <c r="M44" s="276"/>
      <c r="N44" s="277">
        <f>AN40</f>
        <v>0</v>
      </c>
      <c r="O44" s="277"/>
      <c r="P44" s="277"/>
      <c r="Q44" s="277"/>
      <c r="R44" s="158" t="s">
        <v>0</v>
      </c>
      <c r="S44" s="76"/>
      <c r="T44" s="76"/>
      <c r="U44" s="76"/>
      <c r="V44" s="76"/>
      <c r="W44" s="76"/>
      <c r="X44" s="77"/>
      <c r="Y44" s="13"/>
      <c r="Z44" s="13"/>
      <c r="AA44" s="13"/>
      <c r="AB44" s="13"/>
      <c r="AE44" s="229" t="s">
        <v>19</v>
      </c>
      <c r="AF44" s="260"/>
      <c r="AG44" s="162"/>
      <c r="AH44" s="233">
        <f>SUM(AH40:AH43)</f>
        <v>0</v>
      </c>
      <c r="AI44" s="260"/>
      <c r="AJ44" s="151"/>
      <c r="AK44" s="233">
        <f>SUM(AK40:AK43)</f>
        <v>0</v>
      </c>
      <c r="AL44" s="34"/>
      <c r="AO44" s="246">
        <f>SUM(AO26:AO39)+AO42</f>
        <v>0</v>
      </c>
    </row>
    <row r="45" spans="1:45" ht="16.5" customHeight="1" thickBot="1" x14ac:dyDescent="0.2">
      <c r="A45" s="53"/>
      <c r="B45" s="54"/>
      <c r="C45" s="76"/>
      <c r="D45" s="76"/>
      <c r="E45" s="76"/>
      <c r="F45" s="76"/>
      <c r="G45" s="76"/>
      <c r="H45" s="76"/>
      <c r="I45" s="269"/>
      <c r="J45" s="269"/>
      <c r="K45" s="269"/>
      <c r="L45" s="269"/>
      <c r="M45" s="269"/>
      <c r="N45" s="270"/>
      <c r="O45" s="270"/>
      <c r="P45" s="270"/>
      <c r="Q45" s="270"/>
      <c r="R45" s="159"/>
      <c r="S45" s="76"/>
      <c r="T45" s="76"/>
      <c r="U45" s="76"/>
      <c r="V45" s="76"/>
      <c r="W45" s="76"/>
      <c r="X45" s="77"/>
      <c r="Y45" s="13"/>
      <c r="Z45" s="13"/>
      <c r="AA45" s="13"/>
      <c r="AB45" s="13"/>
      <c r="AE45" s="230"/>
      <c r="AF45" s="261"/>
      <c r="AG45" s="163"/>
      <c r="AH45" s="234"/>
      <c r="AI45" s="261"/>
      <c r="AJ45" s="40">
        <f>SUM(AJ41:AJ43)</f>
        <v>0</v>
      </c>
      <c r="AK45" s="234"/>
      <c r="AL45" s="41">
        <f>SUM(AL41:AL43)</f>
        <v>0</v>
      </c>
      <c r="AO45" s="246"/>
    </row>
    <row r="46" spans="1:45" ht="16.5" customHeight="1" x14ac:dyDescent="0.15">
      <c r="A46" s="53"/>
      <c r="B46" s="54"/>
      <c r="C46" s="76"/>
      <c r="D46" s="76"/>
      <c r="E46" s="76"/>
      <c r="F46" s="76"/>
      <c r="G46" s="76"/>
      <c r="H46" s="76"/>
      <c r="I46" s="271"/>
      <c r="J46" s="271"/>
      <c r="K46" s="271"/>
      <c r="L46" s="271"/>
      <c r="M46" s="271"/>
      <c r="N46" s="271"/>
      <c r="O46" s="76"/>
      <c r="P46" s="76"/>
      <c r="Q46" s="76"/>
      <c r="R46" s="76"/>
      <c r="S46" s="76"/>
      <c r="T46" s="76"/>
      <c r="U46" s="76"/>
      <c r="V46" s="76"/>
      <c r="W46" s="76"/>
      <c r="X46" s="77"/>
      <c r="Y46" s="13"/>
      <c r="Z46" s="13"/>
      <c r="AA46" s="13"/>
      <c r="AB46" s="13"/>
      <c r="AF46" s="20"/>
      <c r="AG46" s="18"/>
      <c r="AH46" s="21"/>
      <c r="AI46" s="21"/>
    </row>
    <row r="47" spans="1:45" ht="12" customHeight="1" thickBot="1" x14ac:dyDescent="0.2">
      <c r="A47" s="53"/>
      <c r="B47" s="54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7"/>
      <c r="Y47" s="13"/>
      <c r="Z47" s="13"/>
      <c r="AA47" s="13"/>
      <c r="AB47" s="13"/>
      <c r="AE47" s="31" t="s">
        <v>51</v>
      </c>
      <c r="AF47" s="32">
        <f>COUNT(F40)</f>
        <v>0</v>
      </c>
      <c r="AG47" s="18"/>
      <c r="AH47" s="21"/>
      <c r="AI47" s="21"/>
    </row>
    <row r="48" spans="1:45" ht="18.75" customHeight="1" thickBot="1" x14ac:dyDescent="0.2">
      <c r="A48" s="53"/>
      <c r="B48" s="54"/>
      <c r="C48" s="76"/>
      <c r="D48" s="76"/>
      <c r="E48" s="76"/>
      <c r="F48" s="272"/>
      <c r="G48" s="272"/>
      <c r="H48" s="272"/>
      <c r="I48" s="217" t="s">
        <v>98</v>
      </c>
      <c r="J48" s="217"/>
      <c r="K48" s="217"/>
      <c r="L48" s="217"/>
      <c r="M48" s="217"/>
      <c r="N48" s="217" t="s">
        <v>99</v>
      </c>
      <c r="O48" s="217"/>
      <c r="P48" s="217"/>
      <c r="Q48" s="217"/>
      <c r="R48" s="217"/>
      <c r="S48" s="217" t="s">
        <v>100</v>
      </c>
      <c r="T48" s="217"/>
      <c r="U48" s="217"/>
      <c r="V48" s="217"/>
      <c r="W48" s="217"/>
      <c r="X48" s="77"/>
      <c r="Y48" s="13"/>
      <c r="Z48" s="13"/>
      <c r="AA48" s="13"/>
      <c r="AB48" s="13"/>
      <c r="AF48" s="20"/>
      <c r="AG48" s="18"/>
    </row>
    <row r="49" spans="1:38" ht="4.5" customHeight="1" thickBot="1" x14ac:dyDescent="0.2">
      <c r="A49" s="53"/>
      <c r="B49" s="54"/>
      <c r="C49" s="76"/>
      <c r="D49" s="76"/>
      <c r="E49" s="76"/>
      <c r="F49" s="217" t="s">
        <v>32</v>
      </c>
      <c r="G49" s="217"/>
      <c r="H49" s="217"/>
      <c r="I49" s="280">
        <f>ROUNDDOWN(N44*('R４税率'!B4),0)</f>
        <v>0</v>
      </c>
      <c r="J49" s="280"/>
      <c r="K49" s="280"/>
      <c r="L49" s="280"/>
      <c r="M49" s="217" t="s">
        <v>0</v>
      </c>
      <c r="N49" s="280">
        <f>ROUNDDOWN(N44*('R４税率'!C4),0)</f>
        <v>0</v>
      </c>
      <c r="O49" s="280"/>
      <c r="P49" s="280"/>
      <c r="Q49" s="280"/>
      <c r="R49" s="217" t="s">
        <v>0</v>
      </c>
      <c r="S49" s="280">
        <f>ROUNDDOWN(AR40*('R４税率'!D4),0)</f>
        <v>0</v>
      </c>
      <c r="T49" s="280"/>
      <c r="U49" s="280"/>
      <c r="V49" s="280"/>
      <c r="W49" s="217" t="s">
        <v>0</v>
      </c>
      <c r="X49" s="77"/>
      <c r="Y49" s="13"/>
      <c r="Z49" s="13"/>
      <c r="AA49" s="13"/>
      <c r="AB49" s="13"/>
      <c r="AI49" t="s">
        <v>16</v>
      </c>
      <c r="AK49" s="22"/>
      <c r="AL49" s="22"/>
    </row>
    <row r="50" spans="1:38" ht="18.75" customHeight="1" thickBot="1" x14ac:dyDescent="0.2">
      <c r="A50" s="53"/>
      <c r="B50" s="54"/>
      <c r="C50" s="76"/>
      <c r="D50" s="76"/>
      <c r="E50" s="76"/>
      <c r="F50" s="217"/>
      <c r="G50" s="217"/>
      <c r="H50" s="217"/>
      <c r="I50" s="280"/>
      <c r="J50" s="280"/>
      <c r="K50" s="280"/>
      <c r="L50" s="280"/>
      <c r="M50" s="217"/>
      <c r="N50" s="280"/>
      <c r="O50" s="280"/>
      <c r="P50" s="280"/>
      <c r="Q50" s="280"/>
      <c r="R50" s="217"/>
      <c r="S50" s="280"/>
      <c r="T50" s="280"/>
      <c r="U50" s="280"/>
      <c r="V50" s="280"/>
      <c r="W50" s="217"/>
      <c r="X50" s="77"/>
      <c r="Y50" s="13"/>
      <c r="Z50" s="13"/>
      <c r="AA50" s="13"/>
      <c r="AB50" s="13"/>
      <c r="AE50" t="s">
        <v>35</v>
      </c>
      <c r="AI50" s="1"/>
      <c r="AJ50" s="12" t="s">
        <v>37</v>
      </c>
      <c r="AK50" s="12" t="s">
        <v>60</v>
      </c>
      <c r="AL50" s="12" t="s">
        <v>41</v>
      </c>
    </row>
    <row r="51" spans="1:38" ht="18.75" customHeight="1" thickBot="1" x14ac:dyDescent="0.2">
      <c r="A51" s="53"/>
      <c r="B51" s="54"/>
      <c r="C51" s="76"/>
      <c r="D51" s="76"/>
      <c r="E51" s="76"/>
      <c r="F51" s="217" t="s">
        <v>33</v>
      </c>
      <c r="G51" s="217"/>
      <c r="H51" s="217"/>
      <c r="I51" s="280">
        <f>P42*('R４税率'!B5)</f>
        <v>0</v>
      </c>
      <c r="J51" s="280"/>
      <c r="K51" s="280"/>
      <c r="L51" s="280"/>
      <c r="M51" s="156" t="s">
        <v>0</v>
      </c>
      <c r="N51" s="280">
        <f>P42*('R４税率'!C5)</f>
        <v>0</v>
      </c>
      <c r="O51" s="280"/>
      <c r="P51" s="280"/>
      <c r="Q51" s="280"/>
      <c r="R51" s="156" t="s">
        <v>0</v>
      </c>
      <c r="S51" s="280">
        <f>P43*('R４税率'!D5)</f>
        <v>0</v>
      </c>
      <c r="T51" s="280"/>
      <c r="U51" s="280"/>
      <c r="V51" s="280"/>
      <c r="W51" s="156" t="s">
        <v>0</v>
      </c>
      <c r="X51" s="77"/>
      <c r="Y51" s="13"/>
      <c r="Z51" s="13"/>
      <c r="AA51" s="13"/>
      <c r="AB51" s="13"/>
      <c r="AE51" s="12" t="s">
        <v>22</v>
      </c>
      <c r="AF51" s="12" t="s">
        <v>61</v>
      </c>
      <c r="AG51" s="12" t="s">
        <v>23</v>
      </c>
      <c r="AI51" s="23" t="s">
        <v>38</v>
      </c>
      <c r="AJ51" s="24">
        <f>IF($AL$45&lt;=430000+IF($AO$44&lt;=1, 0, IF($AO$44&gt;=2,100000*($AO$44-1))),(I51+I52)*0.7,0)</f>
        <v>0</v>
      </c>
      <c r="AK51" s="24">
        <f>IF($AL$45&lt;=430000+IF($AO$44&lt;=1, 0, IF($AO$44&gt;=2,100000*($AO$44-1))),(N51+N52)*0.7,0)</f>
        <v>0</v>
      </c>
      <c r="AL51" s="24">
        <f>IF($AL$45&lt;=430000+IF($AO$44&lt;=1, 0, IF($AO$44&gt;=2,100000*($AO$44-1))),(S51+S52)*0.7,0)</f>
        <v>0</v>
      </c>
    </row>
    <row r="52" spans="1:38" ht="18.75" customHeight="1" thickBot="1" x14ac:dyDescent="0.2">
      <c r="A52" s="53"/>
      <c r="B52" s="54"/>
      <c r="C52" s="76"/>
      <c r="D52" s="76"/>
      <c r="E52" s="76"/>
      <c r="F52" s="217" t="s">
        <v>34</v>
      </c>
      <c r="G52" s="217"/>
      <c r="H52" s="217"/>
      <c r="I52" s="280">
        <f>IF(I51=0,0,'R４税率'!B6)</f>
        <v>0</v>
      </c>
      <c r="J52" s="280"/>
      <c r="K52" s="280"/>
      <c r="L52" s="280"/>
      <c r="M52" s="156" t="s">
        <v>0</v>
      </c>
      <c r="N52" s="280">
        <f>IF(N51=0,0,'R４税率'!C6)</f>
        <v>0</v>
      </c>
      <c r="O52" s="280"/>
      <c r="P52" s="280"/>
      <c r="Q52" s="280"/>
      <c r="R52" s="156" t="s">
        <v>0</v>
      </c>
      <c r="S52" s="280">
        <f>IF(AS40=0,0,'R４税率'!D6)</f>
        <v>0</v>
      </c>
      <c r="T52" s="280"/>
      <c r="U52" s="280"/>
      <c r="V52" s="280"/>
      <c r="W52" s="156" t="s">
        <v>0</v>
      </c>
      <c r="X52" s="77"/>
      <c r="Y52" s="13"/>
      <c r="Z52" s="13"/>
      <c r="AA52" s="13"/>
      <c r="AB52" s="13"/>
      <c r="AE52" s="4">
        <f>SUM(I49:L53)</f>
        <v>0</v>
      </c>
      <c r="AF52" s="4">
        <f>SUM(N49:Q53)</f>
        <v>0</v>
      </c>
      <c r="AG52" s="4">
        <f>SUM(S49:V53)</f>
        <v>0</v>
      </c>
      <c r="AI52" s="23" t="s">
        <v>39</v>
      </c>
      <c r="AJ52" s="24">
        <f>IF($AL$45&lt;=430000+285000*$P$42+IF($AO$44&lt;=1, 0, IF($AO$44&gt;=2,100000*($AO$44-1))),(I51+I52)*0.5,0)</f>
        <v>0</v>
      </c>
      <c r="AK52" s="24">
        <f>IF($AL$45&lt;=430000+285000*$P$42+IF($AO$44&lt;=1, 0, IF($AO$44&gt;=2,100000*($AO$44-1))),(N51+N52)*0.5,0)</f>
        <v>0</v>
      </c>
      <c r="AL52" s="24">
        <f>IF($AL$45&lt;=430000+285000*$P$42+IF($AO$44&lt;=1, 0, IF($AO$44&gt;=2,100000*($AO$44-1))),(S51+S52)*0.5,0)</f>
        <v>0</v>
      </c>
    </row>
    <row r="53" spans="1:38" ht="18.75" customHeight="1" thickBot="1" x14ac:dyDescent="0.2">
      <c r="A53" s="53"/>
      <c r="B53" s="54"/>
      <c r="C53" s="76"/>
      <c r="D53" s="76"/>
      <c r="E53" s="76"/>
      <c r="F53" s="217" t="s">
        <v>58</v>
      </c>
      <c r="G53" s="217"/>
      <c r="H53" s="217"/>
      <c r="I53" s="292">
        <f>IF(I49+I51+I52&gt;='R４税率'!B7,AJ54,(AJ54+'R４税率'!D17)*-1)</f>
        <v>0</v>
      </c>
      <c r="J53" s="292"/>
      <c r="K53" s="292"/>
      <c r="L53" s="292"/>
      <c r="M53" s="155" t="s">
        <v>0</v>
      </c>
      <c r="N53" s="292">
        <f>IF(N49+N51+N52&gt;='R４税率'!C7,AK54,(AK54+'R４税率'!E17)*-1)</f>
        <v>0</v>
      </c>
      <c r="O53" s="292"/>
      <c r="P53" s="292"/>
      <c r="Q53" s="292"/>
      <c r="R53" s="155" t="s">
        <v>0</v>
      </c>
      <c r="S53" s="292">
        <f>AL54*-1</f>
        <v>0</v>
      </c>
      <c r="T53" s="292"/>
      <c r="U53" s="292"/>
      <c r="V53" s="292"/>
      <c r="W53" s="155" t="s">
        <v>0</v>
      </c>
      <c r="X53" s="77"/>
      <c r="Y53" s="13"/>
      <c r="Z53" s="13"/>
      <c r="AA53" s="13"/>
      <c r="AB53" s="13"/>
      <c r="AE53" s="5" t="s">
        <v>36</v>
      </c>
      <c r="AG53" s="5"/>
      <c r="AI53" s="23" t="s">
        <v>40</v>
      </c>
      <c r="AJ53" s="24">
        <f>IF($AL$45&lt;=430000+520000*$P$42+IF($AO$44&lt;=1, 0, IF($AO$44&gt;=2,100000*($AO$44-1))),(I51+I52)*0.2,0)</f>
        <v>0</v>
      </c>
      <c r="AK53" s="24">
        <f>IF($AL$45&lt;=430000+520000*$P$42+IF($AO$44&lt;=1, 0, IF($AO$44&gt;=2,100000*($AO$44-1))),(N51+N52)*0.2,0)</f>
        <v>0</v>
      </c>
      <c r="AL53" s="24">
        <f>IF($AL$45&lt;=430000+520000*$P$42+IF($AO$44&lt;=1, 0, IF($AO$44&gt;=2,100000*($AO$44-1))),(S51+S52)*0.2,0)</f>
        <v>0</v>
      </c>
    </row>
    <row r="54" spans="1:38" ht="18.75" customHeight="1" thickBot="1" x14ac:dyDescent="0.2">
      <c r="A54" s="53"/>
      <c r="B54" s="54"/>
      <c r="C54" s="76"/>
      <c r="D54" s="76"/>
      <c r="E54" s="76"/>
      <c r="F54" s="217" t="s">
        <v>20</v>
      </c>
      <c r="G54" s="217"/>
      <c r="H54" s="217"/>
      <c r="I54" s="280">
        <f>IF(AE55&lt;='R４税率'!B7,AE55,'R４税率'!B7)</f>
        <v>0</v>
      </c>
      <c r="J54" s="280"/>
      <c r="K54" s="280"/>
      <c r="L54" s="280"/>
      <c r="M54" s="156" t="s">
        <v>0</v>
      </c>
      <c r="N54" s="280">
        <f>IF(AF55&lt;='R４税率'!C7,AF55,'R４税率'!C7)</f>
        <v>0</v>
      </c>
      <c r="O54" s="280"/>
      <c r="P54" s="280"/>
      <c r="Q54" s="280"/>
      <c r="R54" s="156" t="s">
        <v>0</v>
      </c>
      <c r="S54" s="280">
        <f>IF(AG55&lt;='R４税率'!D7,AG55,'R４税率'!D7)</f>
        <v>0</v>
      </c>
      <c r="T54" s="280"/>
      <c r="U54" s="280"/>
      <c r="V54" s="280"/>
      <c r="W54" s="156" t="s">
        <v>0</v>
      </c>
      <c r="X54" s="77"/>
      <c r="Y54" s="13"/>
      <c r="Z54" s="13"/>
      <c r="AA54" s="13"/>
      <c r="AB54" s="13"/>
      <c r="AE54" s="12" t="s">
        <v>22</v>
      </c>
      <c r="AF54" s="12" t="s">
        <v>61</v>
      </c>
      <c r="AG54" s="12" t="s">
        <v>23</v>
      </c>
      <c r="AI54" s="25" t="s">
        <v>42</v>
      </c>
      <c r="AJ54" s="26">
        <f>MAX(AJ51:AJ53)</f>
        <v>0</v>
      </c>
      <c r="AK54" s="26">
        <f>MAX(AK51:AK53)</f>
        <v>0</v>
      </c>
      <c r="AL54" s="26">
        <f>MAX(AL51:AL53)</f>
        <v>0</v>
      </c>
    </row>
    <row r="55" spans="1:38" ht="15" customHeight="1" x14ac:dyDescent="0.15">
      <c r="A55" s="53"/>
      <c r="B55" s="54"/>
      <c r="C55" s="76"/>
      <c r="D55" s="76"/>
      <c r="E55" s="76"/>
      <c r="F55" s="159"/>
      <c r="G55" s="159"/>
      <c r="H55" s="159"/>
      <c r="I55" s="160"/>
      <c r="J55" s="160"/>
      <c r="K55" s="160"/>
      <c r="L55" s="160"/>
      <c r="M55" s="76"/>
      <c r="N55" s="160"/>
      <c r="O55" s="160"/>
      <c r="P55" s="160"/>
      <c r="Q55" s="160"/>
      <c r="R55" s="76"/>
      <c r="S55" s="76"/>
      <c r="T55" s="76"/>
      <c r="U55" s="76"/>
      <c r="V55" s="76"/>
      <c r="W55" s="76"/>
      <c r="X55" s="77"/>
      <c r="Y55" s="13"/>
      <c r="Z55" s="13"/>
      <c r="AA55" s="13"/>
      <c r="AB55" s="13"/>
      <c r="AE55" s="4">
        <f>ROUNDDOWN(AE52,-2)</f>
        <v>0</v>
      </c>
      <c r="AF55" s="4">
        <f>ROUNDDOWN(AF52,-2)</f>
        <v>0</v>
      </c>
      <c r="AG55" s="4">
        <f>ROUNDDOWN(AG52,-2)</f>
        <v>0</v>
      </c>
      <c r="AI55" s="27"/>
      <c r="AJ55" s="28"/>
      <c r="AK55" s="28"/>
      <c r="AL55" s="28"/>
    </row>
    <row r="56" spans="1:38" x14ac:dyDescent="0.15">
      <c r="A56" s="53"/>
      <c r="B56" s="54"/>
      <c r="C56" s="76"/>
      <c r="D56" s="76"/>
      <c r="E56" s="76"/>
      <c r="F56" s="159"/>
      <c r="G56" s="159"/>
      <c r="H56" s="159"/>
      <c r="I56" s="160"/>
      <c r="J56" s="160"/>
      <c r="K56" s="160"/>
      <c r="L56" s="160"/>
      <c r="M56" s="76"/>
      <c r="N56" s="160"/>
      <c r="O56" s="160"/>
      <c r="P56" s="160"/>
      <c r="Q56" s="160"/>
      <c r="R56" s="76"/>
      <c r="S56" s="76"/>
      <c r="T56" s="76"/>
      <c r="U56" s="76"/>
      <c r="V56" s="76"/>
      <c r="W56" s="76"/>
      <c r="X56" s="77"/>
      <c r="Y56" s="13"/>
      <c r="Z56" s="13"/>
      <c r="AA56" s="13"/>
      <c r="AB56" s="13"/>
    </row>
    <row r="57" spans="1:38" ht="22.5" customHeight="1" x14ac:dyDescent="0.15">
      <c r="A57" s="53"/>
      <c r="B57" s="54"/>
      <c r="C57" s="76"/>
      <c r="D57" s="76"/>
      <c r="E57" s="76"/>
      <c r="F57" s="76"/>
      <c r="G57" s="76"/>
      <c r="H57" s="76"/>
      <c r="I57" s="286"/>
      <c r="J57" s="286"/>
      <c r="K57" s="286"/>
      <c r="L57" s="28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7"/>
      <c r="Y57" s="13"/>
      <c r="Z57" s="13"/>
      <c r="AA57" s="13"/>
      <c r="AB57" s="13"/>
      <c r="AF57" s="19"/>
    </row>
    <row r="58" spans="1:38" ht="10.5" customHeight="1" x14ac:dyDescent="0.15">
      <c r="A58" s="53"/>
      <c r="B58" s="54"/>
      <c r="C58" s="76"/>
      <c r="D58" s="76"/>
      <c r="E58" s="76"/>
      <c r="F58" s="76"/>
      <c r="G58" s="76"/>
      <c r="H58" s="76"/>
      <c r="I58" s="157"/>
      <c r="J58" s="157"/>
      <c r="K58" s="157"/>
      <c r="L58" s="157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7"/>
      <c r="Y58" s="13"/>
      <c r="Z58" s="13"/>
      <c r="AA58" s="13"/>
      <c r="AB58" s="13"/>
      <c r="AF58" s="19"/>
    </row>
    <row r="59" spans="1:38" ht="27.75" customHeight="1" thickBot="1" x14ac:dyDescent="0.2">
      <c r="A59" s="53"/>
      <c r="B59" s="54"/>
      <c r="C59" s="76"/>
      <c r="D59" s="76"/>
      <c r="E59" s="76"/>
      <c r="F59" s="269"/>
      <c r="G59" s="269"/>
      <c r="H59" s="269"/>
      <c r="I59" s="315" t="s">
        <v>117</v>
      </c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7"/>
      <c r="Y59" s="13"/>
      <c r="Z59" s="13"/>
      <c r="AA59" s="13"/>
      <c r="AB59" s="13"/>
      <c r="AE59" s="20"/>
      <c r="AF59" s="18"/>
    </row>
    <row r="60" spans="1:38" ht="21.75" customHeight="1" thickBot="1" x14ac:dyDescent="0.2">
      <c r="A60" s="53"/>
      <c r="B60" s="54"/>
      <c r="C60" s="76"/>
      <c r="D60" s="76"/>
      <c r="E60" s="76"/>
      <c r="F60" s="76"/>
      <c r="G60" s="76"/>
      <c r="H60" s="281" t="s">
        <v>63</v>
      </c>
      <c r="I60" s="282"/>
      <c r="J60" s="282"/>
      <c r="K60" s="283"/>
      <c r="L60" s="287">
        <f>I54+S54+N54</f>
        <v>0</v>
      </c>
      <c r="M60" s="285"/>
      <c r="N60" s="285"/>
      <c r="O60" s="285"/>
      <c r="P60" s="156" t="s">
        <v>0</v>
      </c>
      <c r="Q60" s="110" t="s">
        <v>69</v>
      </c>
      <c r="R60" s="110"/>
      <c r="S60" s="76"/>
      <c r="T60" s="288" t="s">
        <v>86</v>
      </c>
      <c r="U60" s="289"/>
      <c r="V60" s="290" t="str">
        <f>'R４税率'!E6</f>
        <v>該当なし</v>
      </c>
      <c r="W60" s="291"/>
      <c r="X60" s="85"/>
      <c r="Y60" s="13"/>
      <c r="Z60" s="13"/>
      <c r="AA60" s="13"/>
      <c r="AB60" s="13"/>
    </row>
    <row r="61" spans="1:38" ht="21.75" customHeight="1" thickBot="1" x14ac:dyDescent="0.2">
      <c r="A61" s="53"/>
      <c r="B61" s="54"/>
      <c r="C61" s="76"/>
      <c r="D61" s="76"/>
      <c r="E61" s="76"/>
      <c r="F61" s="76"/>
      <c r="G61" s="76"/>
      <c r="H61" s="281" t="s">
        <v>26</v>
      </c>
      <c r="I61" s="282"/>
      <c r="J61" s="282"/>
      <c r="K61" s="283"/>
      <c r="L61" s="284">
        <f>L60/12</f>
        <v>0</v>
      </c>
      <c r="M61" s="285"/>
      <c r="N61" s="285"/>
      <c r="O61" s="285"/>
      <c r="P61" s="156" t="s">
        <v>0</v>
      </c>
      <c r="Q61" s="110" t="s">
        <v>69</v>
      </c>
      <c r="R61" s="110"/>
      <c r="S61" s="76"/>
      <c r="T61" s="76"/>
      <c r="U61" s="76"/>
      <c r="V61" s="76"/>
      <c r="W61" s="76"/>
      <c r="X61" s="58"/>
      <c r="Y61" s="13"/>
      <c r="Z61" s="13"/>
      <c r="AA61" s="13"/>
      <c r="AB61" s="13"/>
    </row>
    <row r="62" spans="1:38" ht="21.75" thickBot="1" x14ac:dyDescent="0.25">
      <c r="A62" s="12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49" t="str">
        <f>IF(X40=0,"","非自離軽減適用の金額です")</f>
        <v/>
      </c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05"/>
      <c r="Y62" s="7"/>
      <c r="Z62" s="7"/>
      <c r="AA62" s="7"/>
      <c r="AB62" s="7"/>
    </row>
    <row r="63" spans="1:38" x14ac:dyDescent="0.15">
      <c r="A63" s="7"/>
      <c r="B63" s="111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38" x14ac:dyDescent="0.15">
      <c r="A64" s="7"/>
      <c r="B64" s="111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x14ac:dyDescent="0.15">
      <c r="A65" s="7"/>
      <c r="B65" s="111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x14ac:dyDescent="0.15">
      <c r="A66" s="7"/>
      <c r="B66" s="111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x14ac:dyDescent="0.15">
      <c r="A67" s="7"/>
      <c r="B67" s="111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x14ac:dyDescent="0.15">
      <c r="A68" s="7"/>
      <c r="B68" s="111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</sheetData>
  <sheetProtection selectLockedCells="1"/>
  <mergeCells count="246">
    <mergeCell ref="C6:W6"/>
    <mergeCell ref="A21:X21"/>
    <mergeCell ref="C22:E23"/>
    <mergeCell ref="F22:H23"/>
    <mergeCell ref="I22:M23"/>
    <mergeCell ref="N22:R23"/>
    <mergeCell ref="S22:W23"/>
    <mergeCell ref="X22:X25"/>
    <mergeCell ref="C24:E25"/>
    <mergeCell ref="F24:H25"/>
    <mergeCell ref="I24:M25"/>
    <mergeCell ref="N24:R25"/>
    <mergeCell ref="S24:W25"/>
    <mergeCell ref="C26:E26"/>
    <mergeCell ref="F26:G27"/>
    <mergeCell ref="H26:H27"/>
    <mergeCell ref="I26:L27"/>
    <mergeCell ref="M26:M27"/>
    <mergeCell ref="N26:Q27"/>
    <mergeCell ref="R26:R27"/>
    <mergeCell ref="AQ26:AQ27"/>
    <mergeCell ref="AR26:AR27"/>
    <mergeCell ref="AS26:AS27"/>
    <mergeCell ref="C27:E27"/>
    <mergeCell ref="C28:E29"/>
    <mergeCell ref="F28:G29"/>
    <mergeCell ref="H28:H29"/>
    <mergeCell ref="I28:L29"/>
    <mergeCell ref="M28:M29"/>
    <mergeCell ref="N28:Q29"/>
    <mergeCell ref="AE26:AE27"/>
    <mergeCell ref="AH26:AH27"/>
    <mergeCell ref="AK26:AK27"/>
    <mergeCell ref="AM26:AM27"/>
    <mergeCell ref="AN26:AN27"/>
    <mergeCell ref="AO26:AO27"/>
    <mergeCell ref="S26:V27"/>
    <mergeCell ref="W26:W27"/>
    <mergeCell ref="X26:X27"/>
    <mergeCell ref="Y26:Y27"/>
    <mergeCell ref="Z26:Z27"/>
    <mergeCell ref="AA26:AA27"/>
    <mergeCell ref="AO28:AO29"/>
    <mergeCell ref="AQ28:AQ29"/>
    <mergeCell ref="AR28:AR29"/>
    <mergeCell ref="AS28:AS29"/>
    <mergeCell ref="C30:E31"/>
    <mergeCell ref="F30:G31"/>
    <mergeCell ref="H30:H31"/>
    <mergeCell ref="I30:L31"/>
    <mergeCell ref="M30:M31"/>
    <mergeCell ref="N30:Q31"/>
    <mergeCell ref="AA28:AA29"/>
    <mergeCell ref="AE28:AE29"/>
    <mergeCell ref="AH28:AH29"/>
    <mergeCell ref="AK28:AK29"/>
    <mergeCell ref="AM28:AM29"/>
    <mergeCell ref="AN28:AN29"/>
    <mergeCell ref="R28:R29"/>
    <mergeCell ref="S28:V29"/>
    <mergeCell ref="W28:W29"/>
    <mergeCell ref="X28:X29"/>
    <mergeCell ref="Y28:Y29"/>
    <mergeCell ref="Z28:Z29"/>
    <mergeCell ref="AO30:AO31"/>
    <mergeCell ref="AQ30:AQ31"/>
    <mergeCell ref="AR30:AR31"/>
    <mergeCell ref="AS30:AS31"/>
    <mergeCell ref="C32:E33"/>
    <mergeCell ref="F32:G33"/>
    <mergeCell ref="H32:H33"/>
    <mergeCell ref="I32:L33"/>
    <mergeCell ref="M32:M33"/>
    <mergeCell ref="N32:Q33"/>
    <mergeCell ref="AA30:AA31"/>
    <mergeCell ref="AE30:AE31"/>
    <mergeCell ref="AH30:AH31"/>
    <mergeCell ref="AK30:AK31"/>
    <mergeCell ref="AM30:AM31"/>
    <mergeCell ref="AN30:AN31"/>
    <mergeCell ref="R30:R31"/>
    <mergeCell ref="S30:V31"/>
    <mergeCell ref="W30:W31"/>
    <mergeCell ref="X30:X31"/>
    <mergeCell ref="Y30:Y31"/>
    <mergeCell ref="Z30:Z31"/>
    <mergeCell ref="AO32:AO33"/>
    <mergeCell ref="AQ32:AQ33"/>
    <mergeCell ref="AR32:AR33"/>
    <mergeCell ref="AS32:AS33"/>
    <mergeCell ref="C34:E35"/>
    <mergeCell ref="F34:G35"/>
    <mergeCell ref="H34:H35"/>
    <mergeCell ref="I34:L35"/>
    <mergeCell ref="M34:M35"/>
    <mergeCell ref="N34:Q35"/>
    <mergeCell ref="AA32:AA33"/>
    <mergeCell ref="AE32:AE33"/>
    <mergeCell ref="AH32:AH33"/>
    <mergeCell ref="AK32:AK33"/>
    <mergeCell ref="AM32:AM33"/>
    <mergeCell ref="AN32:AN33"/>
    <mergeCell ref="R32:R33"/>
    <mergeCell ref="S32:V33"/>
    <mergeCell ref="W32:W33"/>
    <mergeCell ref="X32:X33"/>
    <mergeCell ref="Y32:Y33"/>
    <mergeCell ref="Z32:Z33"/>
    <mergeCell ref="AO34:AO35"/>
    <mergeCell ref="AQ34:AQ35"/>
    <mergeCell ref="AR34:AR35"/>
    <mergeCell ref="AS34:AS35"/>
    <mergeCell ref="C36:E37"/>
    <mergeCell ref="F36:G37"/>
    <mergeCell ref="H36:H37"/>
    <mergeCell ref="I36:L37"/>
    <mergeCell ref="M36:M37"/>
    <mergeCell ref="N36:Q37"/>
    <mergeCell ref="AA34:AA35"/>
    <mergeCell ref="AE34:AE35"/>
    <mergeCell ref="AH34:AH35"/>
    <mergeCell ref="AK34:AK35"/>
    <mergeCell ref="AM34:AM35"/>
    <mergeCell ref="AN34:AN35"/>
    <mergeCell ref="R34:R35"/>
    <mergeCell ref="S34:V35"/>
    <mergeCell ref="W34:W35"/>
    <mergeCell ref="X34:X35"/>
    <mergeCell ref="Y34:Y35"/>
    <mergeCell ref="Z34:Z35"/>
    <mergeCell ref="AO36:AO37"/>
    <mergeCell ref="AQ36:AQ37"/>
    <mergeCell ref="AR36:AR37"/>
    <mergeCell ref="AS36:AS37"/>
    <mergeCell ref="C38:E39"/>
    <mergeCell ref="F38:G39"/>
    <mergeCell ref="H38:H39"/>
    <mergeCell ref="I38:L39"/>
    <mergeCell ref="M38:M39"/>
    <mergeCell ref="N38:Q39"/>
    <mergeCell ref="AA36:AA37"/>
    <mergeCell ref="AE36:AE37"/>
    <mergeCell ref="AH36:AH37"/>
    <mergeCell ref="AK36:AK37"/>
    <mergeCell ref="AM36:AM37"/>
    <mergeCell ref="AN36:AN37"/>
    <mergeCell ref="R36:R37"/>
    <mergeCell ref="S36:V37"/>
    <mergeCell ref="W36:W37"/>
    <mergeCell ref="X36:X37"/>
    <mergeCell ref="Y36:Y37"/>
    <mergeCell ref="Z36:Z37"/>
    <mergeCell ref="AO38:AO39"/>
    <mergeCell ref="AQ38:AQ39"/>
    <mergeCell ref="AR38:AR39"/>
    <mergeCell ref="AS38:AS39"/>
    <mergeCell ref="C40:E40"/>
    <mergeCell ref="F40:G41"/>
    <mergeCell ref="H40:H41"/>
    <mergeCell ref="I40:L41"/>
    <mergeCell ref="M40:M41"/>
    <mergeCell ref="N40:Q41"/>
    <mergeCell ref="AA38:AA39"/>
    <mergeCell ref="AE38:AE39"/>
    <mergeCell ref="AH38:AH39"/>
    <mergeCell ref="AK38:AK39"/>
    <mergeCell ref="AM38:AM39"/>
    <mergeCell ref="AN38:AN39"/>
    <mergeCell ref="R38:R39"/>
    <mergeCell ref="S38:V39"/>
    <mergeCell ref="W38:W39"/>
    <mergeCell ref="X38:X39"/>
    <mergeCell ref="Y38:Y39"/>
    <mergeCell ref="Z38:Z39"/>
    <mergeCell ref="AK40:AK41"/>
    <mergeCell ref="AM40:AM41"/>
    <mergeCell ref="AN40:AN41"/>
    <mergeCell ref="AO40:AO41"/>
    <mergeCell ref="C41:E41"/>
    <mergeCell ref="I42:O42"/>
    <mergeCell ref="P42:Q42"/>
    <mergeCell ref="AE42:AE43"/>
    <mergeCell ref="AH42:AH43"/>
    <mergeCell ref="AK42:AK43"/>
    <mergeCell ref="AA40:AA41"/>
    <mergeCell ref="AC40:AC41"/>
    <mergeCell ref="AE40:AE41"/>
    <mergeCell ref="AF40:AF41"/>
    <mergeCell ref="AH40:AH41"/>
    <mergeCell ref="AI40:AI41"/>
    <mergeCell ref="R40:R41"/>
    <mergeCell ref="S40:V41"/>
    <mergeCell ref="W40:W41"/>
    <mergeCell ref="X40:X41"/>
    <mergeCell ref="Y40:Y41"/>
    <mergeCell ref="Z40:Z41"/>
    <mergeCell ref="AO44:AO45"/>
    <mergeCell ref="I45:M45"/>
    <mergeCell ref="N45:Q45"/>
    <mergeCell ref="I46:N46"/>
    <mergeCell ref="F48:H48"/>
    <mergeCell ref="I48:M48"/>
    <mergeCell ref="N48:R48"/>
    <mergeCell ref="S48:W48"/>
    <mergeCell ref="AO42:AO43"/>
    <mergeCell ref="I43:O43"/>
    <mergeCell ref="P43:Q43"/>
    <mergeCell ref="I44:M44"/>
    <mergeCell ref="N44:Q44"/>
    <mergeCell ref="AE44:AE45"/>
    <mergeCell ref="AF44:AF45"/>
    <mergeCell ref="AH44:AH45"/>
    <mergeCell ref="AI44:AI45"/>
    <mergeCell ref="AK44:AK45"/>
    <mergeCell ref="F53:H53"/>
    <mergeCell ref="I53:L53"/>
    <mergeCell ref="N53:Q53"/>
    <mergeCell ref="S53:V53"/>
    <mergeCell ref="F54:H54"/>
    <mergeCell ref="I54:L54"/>
    <mergeCell ref="N54:Q54"/>
    <mergeCell ref="S54:V54"/>
    <mergeCell ref="W49:W50"/>
    <mergeCell ref="F51:H51"/>
    <mergeCell ref="I51:L51"/>
    <mergeCell ref="N51:Q51"/>
    <mergeCell ref="S51:V51"/>
    <mergeCell ref="F52:H52"/>
    <mergeCell ref="I52:L52"/>
    <mergeCell ref="N52:Q52"/>
    <mergeCell ref="S52:V52"/>
    <mergeCell ref="F49:H50"/>
    <mergeCell ref="I49:L50"/>
    <mergeCell ref="M49:M50"/>
    <mergeCell ref="N49:Q50"/>
    <mergeCell ref="R49:R50"/>
    <mergeCell ref="S49:V50"/>
    <mergeCell ref="H61:K61"/>
    <mergeCell ref="L61:O61"/>
    <mergeCell ref="I59:X59"/>
    <mergeCell ref="I57:L57"/>
    <mergeCell ref="F59:H59"/>
    <mergeCell ref="H60:K60"/>
    <mergeCell ref="L60:O60"/>
    <mergeCell ref="T60:U60"/>
    <mergeCell ref="V60:W60"/>
  </mergeCells>
  <phoneticPr fontId="2"/>
  <pageMargins left="0.31496062992125984" right="0.23622047244094491" top="0.23622047244094491" bottom="0.19685039370078741" header="0.51181102362204722" footer="0.35433070866141736"/>
  <pageSetup paperSize="9" scale="79" orientation="portrait" horizontalDpi="300" verticalDpi="300" r:id="rId1"/>
  <headerFooter alignWithMargins="0"/>
  <rowBreaks count="1" manualBreakCount="1">
    <brk id="62" max="2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5FBB3-64E7-4889-97A5-C92A97FF6A0A}">
  <dimension ref="A1:F22"/>
  <sheetViews>
    <sheetView workbookViewId="0">
      <selection activeCell="D16" sqref="D16"/>
    </sheetView>
  </sheetViews>
  <sheetFormatPr defaultRowHeight="13.5" x14ac:dyDescent="0.15"/>
  <cols>
    <col min="1" max="1" width="9" style="18"/>
    <col min="2" max="2" width="9.25" style="18" bestFit="1" customWidth="1"/>
    <col min="3" max="6" width="9" style="18"/>
    <col min="7" max="9" width="12.125" style="18" bestFit="1" customWidth="1"/>
    <col min="10" max="16384" width="9" style="18"/>
  </cols>
  <sheetData>
    <row r="1" spans="1:6" x14ac:dyDescent="0.15">
      <c r="A1" s="18" t="s">
        <v>12</v>
      </c>
    </row>
    <row r="2" spans="1:6" x14ac:dyDescent="0.15">
      <c r="A2" s="24"/>
      <c r="B2" s="43" t="s">
        <v>3</v>
      </c>
      <c r="C2" s="43" t="s">
        <v>62</v>
      </c>
      <c r="D2" s="43" t="s">
        <v>4</v>
      </c>
    </row>
    <row r="3" spans="1:6" x14ac:dyDescent="0.15">
      <c r="A3" s="43" t="s">
        <v>13</v>
      </c>
      <c r="B3" s="24">
        <v>430000</v>
      </c>
      <c r="C3" s="24">
        <v>430000</v>
      </c>
      <c r="D3" s="24">
        <v>430000</v>
      </c>
    </row>
    <row r="4" spans="1:6" x14ac:dyDescent="0.15">
      <c r="A4" s="43" t="s">
        <v>14</v>
      </c>
      <c r="B4" s="50">
        <v>6.3600000000000004E-2</v>
      </c>
      <c r="C4" s="50">
        <v>2.5499999999999998E-2</v>
      </c>
      <c r="D4" s="50">
        <v>2.07E-2</v>
      </c>
    </row>
    <row r="5" spans="1:6" x14ac:dyDescent="0.15">
      <c r="A5" s="43" t="s">
        <v>1</v>
      </c>
      <c r="B5" s="24">
        <v>25900</v>
      </c>
      <c r="C5" s="24">
        <v>9800</v>
      </c>
      <c r="D5" s="24">
        <v>10500</v>
      </c>
    </row>
    <row r="6" spans="1:6" x14ac:dyDescent="0.15">
      <c r="A6" s="43" t="s">
        <v>2</v>
      </c>
      <c r="B6" s="24">
        <v>19000</v>
      </c>
      <c r="C6" s="24">
        <v>7200</v>
      </c>
      <c r="D6" s="24">
        <v>6400</v>
      </c>
      <c r="E6" s="24" t="str">
        <f>IF(令和６年度!AL55=0,"該当なし",VLOOKUP(1,$E$8:$F$10,2,FALSE))</f>
        <v>該当なし</v>
      </c>
      <c r="F6" s="146">
        <f>IF(E6="該当なし",1,IF(E6="７割",0.7,IF(E6="５割",0.5,IF(E6="２割",0.2,"エラー"))))</f>
        <v>1</v>
      </c>
    </row>
    <row r="7" spans="1:6" x14ac:dyDescent="0.15">
      <c r="A7" s="43" t="s">
        <v>15</v>
      </c>
      <c r="B7" s="24">
        <v>650000</v>
      </c>
      <c r="C7" s="181">
        <v>220000</v>
      </c>
      <c r="D7" s="181">
        <v>170000</v>
      </c>
    </row>
    <row r="8" spans="1:6" x14ac:dyDescent="0.15">
      <c r="A8" s="43" t="s">
        <v>27</v>
      </c>
      <c r="B8" s="180">
        <v>430000</v>
      </c>
      <c r="C8" s="184"/>
      <c r="D8" s="185"/>
      <c r="E8" s="18">
        <f>IF(令和６年度!AL52=令和６年度!AL55,1,"")</f>
        <v>1</v>
      </c>
      <c r="F8" s="18" t="s">
        <v>74</v>
      </c>
    </row>
    <row r="9" spans="1:6" x14ac:dyDescent="0.15">
      <c r="A9" s="43" t="s">
        <v>28</v>
      </c>
      <c r="B9" s="180">
        <v>295000</v>
      </c>
      <c r="C9" s="186"/>
      <c r="D9" s="183"/>
      <c r="E9" s="18">
        <f>IF(令和６年度!AL53=令和６年度!AL55,1,"")</f>
        <v>1</v>
      </c>
      <c r="F9" s="18" t="s">
        <v>75</v>
      </c>
    </row>
    <row r="10" spans="1:6" x14ac:dyDescent="0.15">
      <c r="A10" s="43" t="s">
        <v>29</v>
      </c>
      <c r="B10" s="180">
        <v>545000</v>
      </c>
      <c r="C10" s="186"/>
      <c r="D10" s="183"/>
      <c r="E10" s="18">
        <f>IF(令和６年度!AL54=令和６年度!AL55,1,"")</f>
        <v>1</v>
      </c>
      <c r="F10" s="18" t="s">
        <v>76</v>
      </c>
    </row>
    <row r="11" spans="1:6" x14ac:dyDescent="0.15">
      <c r="A11" s="43" t="s">
        <v>16</v>
      </c>
      <c r="B11" s="24">
        <v>150000</v>
      </c>
      <c r="C11" s="182"/>
      <c r="D11" s="21"/>
    </row>
    <row r="13" spans="1:6" x14ac:dyDescent="0.15">
      <c r="A13" s="18" t="s">
        <v>107</v>
      </c>
      <c r="D13" s="18" t="s">
        <v>111</v>
      </c>
    </row>
    <row r="14" spans="1:6" ht="14.25" thickBot="1" x14ac:dyDescent="0.2">
      <c r="A14" s="18" t="s">
        <v>108</v>
      </c>
      <c r="D14" s="18" t="s">
        <v>109</v>
      </c>
      <c r="E14" s="18" t="s">
        <v>110</v>
      </c>
    </row>
    <row r="15" spans="1:6" ht="14.25" thickBot="1" x14ac:dyDescent="0.2">
      <c r="A15" s="179">
        <f>COUNTIF(令和６年度!F26:G39,"&lt;6")</f>
        <v>0</v>
      </c>
      <c r="D15" s="18">
        <f>IF(E6="該当なし",B5*A15,(B5*A15)-(B5*A15*F6))</f>
        <v>0</v>
      </c>
      <c r="E15" s="18">
        <f>IF(E6="該当なし",C5*A15,(C5*A15)-(C5*A15*F6))</f>
        <v>0</v>
      </c>
    </row>
    <row r="16" spans="1:6" x14ac:dyDescent="0.15">
      <c r="D16" s="18">
        <f>D15*0.5</f>
        <v>0</v>
      </c>
      <c r="E16" s="18">
        <f>E15*0.5</f>
        <v>0</v>
      </c>
    </row>
    <row r="22" spans="1:1" x14ac:dyDescent="0.15">
      <c r="A22" s="21"/>
    </row>
  </sheetData>
  <sheetProtection selectLockedCells="1"/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workbookViewId="0">
      <selection activeCell="F14" sqref="F14"/>
    </sheetView>
  </sheetViews>
  <sheetFormatPr defaultRowHeight="13.5" x14ac:dyDescent="0.15"/>
  <cols>
    <col min="1" max="1" width="9" style="18"/>
    <col min="2" max="2" width="9.25" style="18" bestFit="1" customWidth="1"/>
    <col min="3" max="6" width="9" style="18"/>
    <col min="7" max="9" width="12.125" style="18" bestFit="1" customWidth="1"/>
    <col min="10" max="16384" width="9" style="18"/>
  </cols>
  <sheetData>
    <row r="1" spans="1:6" x14ac:dyDescent="0.15">
      <c r="A1" s="18" t="s">
        <v>12</v>
      </c>
    </row>
    <row r="2" spans="1:6" x14ac:dyDescent="0.15">
      <c r="A2" s="24"/>
      <c r="B2" s="43" t="s">
        <v>3</v>
      </c>
      <c r="C2" s="43" t="s">
        <v>62</v>
      </c>
      <c r="D2" s="43" t="s">
        <v>4</v>
      </c>
    </row>
    <row r="3" spans="1:6" x14ac:dyDescent="0.15">
      <c r="A3" s="43" t="s">
        <v>13</v>
      </c>
      <c r="B3" s="24">
        <v>430000</v>
      </c>
      <c r="C3" s="24">
        <v>430000</v>
      </c>
      <c r="D3" s="24">
        <v>430000</v>
      </c>
    </row>
    <row r="4" spans="1:6" x14ac:dyDescent="0.15">
      <c r="A4" s="43" t="s">
        <v>14</v>
      </c>
      <c r="B4" s="50">
        <v>6.3600000000000004E-2</v>
      </c>
      <c r="C4" s="50">
        <v>2.5499999999999998E-2</v>
      </c>
      <c r="D4" s="50">
        <v>2.07E-2</v>
      </c>
    </row>
    <row r="5" spans="1:6" x14ac:dyDescent="0.15">
      <c r="A5" s="43" t="s">
        <v>1</v>
      </c>
      <c r="B5" s="24">
        <v>25900</v>
      </c>
      <c r="C5" s="24">
        <v>9800</v>
      </c>
      <c r="D5" s="24">
        <v>10500</v>
      </c>
    </row>
    <row r="6" spans="1:6" x14ac:dyDescent="0.15">
      <c r="A6" s="43" t="s">
        <v>2</v>
      </c>
      <c r="B6" s="24">
        <v>19000</v>
      </c>
      <c r="C6" s="24">
        <v>7200</v>
      </c>
      <c r="D6" s="24">
        <v>6400</v>
      </c>
      <c r="E6" s="24" t="str">
        <f>IF(令和５年度!AJ54=0,"該当なし",VLOOKUP(1,$E$8:$F$10,2,FALSE))</f>
        <v>該当なし</v>
      </c>
      <c r="F6" s="146">
        <f>IF(E6="該当なし",1,IF(E6="７割",0.7,IF(E6="５割",0.5,IF(E6="２割",0.2,"エラー"))))</f>
        <v>1</v>
      </c>
    </row>
    <row r="7" spans="1:6" x14ac:dyDescent="0.15">
      <c r="A7" s="43" t="s">
        <v>15</v>
      </c>
      <c r="B7" s="24">
        <v>650000</v>
      </c>
      <c r="C7" s="24">
        <v>200000</v>
      </c>
      <c r="D7" s="24">
        <v>170000</v>
      </c>
    </row>
    <row r="8" spans="1:6" x14ac:dyDescent="0.15">
      <c r="A8" s="43" t="s">
        <v>27</v>
      </c>
      <c r="B8" s="42">
        <v>0.7</v>
      </c>
      <c r="C8" s="42">
        <v>0.7</v>
      </c>
      <c r="D8" s="42">
        <v>0.7</v>
      </c>
      <c r="E8" s="18">
        <f>IF(令和５年度!AJ51=令和５年度!AJ54,1,"")</f>
        <v>1</v>
      </c>
      <c r="F8" s="18" t="s">
        <v>74</v>
      </c>
    </row>
    <row r="9" spans="1:6" x14ac:dyDescent="0.15">
      <c r="A9" s="43" t="s">
        <v>28</v>
      </c>
      <c r="B9" s="42">
        <v>0.5</v>
      </c>
      <c r="C9" s="42">
        <v>0.5</v>
      </c>
      <c r="D9" s="42">
        <v>0.5</v>
      </c>
      <c r="E9" s="18">
        <f>IF(令和５年度!AJ52=令和５年度!AJ54,1,"")</f>
        <v>1</v>
      </c>
      <c r="F9" s="18" t="s">
        <v>75</v>
      </c>
    </row>
    <row r="10" spans="1:6" x14ac:dyDescent="0.15">
      <c r="A10" s="43" t="s">
        <v>29</v>
      </c>
      <c r="B10" s="42">
        <v>0.2</v>
      </c>
      <c r="C10" s="42">
        <v>0.2</v>
      </c>
      <c r="D10" s="42">
        <v>0.2</v>
      </c>
      <c r="E10" s="18">
        <f>IF(令和５年度!AJ53=令和５年度!AJ54,1,"")</f>
        <v>1</v>
      </c>
      <c r="F10" s="18" t="s">
        <v>76</v>
      </c>
    </row>
    <row r="11" spans="1:6" x14ac:dyDescent="0.15">
      <c r="A11" s="43" t="s">
        <v>16</v>
      </c>
      <c r="B11" s="24">
        <v>150000</v>
      </c>
      <c r="C11" s="24"/>
      <c r="D11" s="24"/>
    </row>
    <row r="14" spans="1:6" x14ac:dyDescent="0.15">
      <c r="A14" s="18" t="s">
        <v>107</v>
      </c>
      <c r="D14" s="18" t="s">
        <v>111</v>
      </c>
    </row>
    <row r="15" spans="1:6" x14ac:dyDescent="0.15">
      <c r="A15" s="18" t="s">
        <v>108</v>
      </c>
      <c r="D15" s="18" t="s">
        <v>109</v>
      </c>
      <c r="E15" s="18" t="s">
        <v>110</v>
      </c>
    </row>
    <row r="16" spans="1:6" x14ac:dyDescent="0.15">
      <c r="A16" s="18">
        <f>IF(令和５年度!F26="",0,IF(令和５年度!F26&lt;6,1,""))</f>
        <v>0</v>
      </c>
      <c r="D16" s="18">
        <f>IF(E6="該当なし",B5*A23,(B5*A23)-(B5*A23*F6))</f>
        <v>0</v>
      </c>
      <c r="E16" s="18">
        <f>IF(E6="該当なし",C5*A23,(C5*A23)-(C5*A23*F6))</f>
        <v>0</v>
      </c>
    </row>
    <row r="17" spans="1:5" x14ac:dyDescent="0.15">
      <c r="A17" s="18">
        <f>IF(令和５年度!F28="",0,IF(令和５年度!F28&lt;6,1,""))</f>
        <v>0</v>
      </c>
      <c r="D17" s="18">
        <f>D16*0.5</f>
        <v>0</v>
      </c>
      <c r="E17" s="18">
        <f>E16*0.5</f>
        <v>0</v>
      </c>
    </row>
    <row r="18" spans="1:5" x14ac:dyDescent="0.15">
      <c r="A18" s="18">
        <f>IF(令和５年度!F30="",0,IF(令和５年度!F30&lt;6,1,""))</f>
        <v>0</v>
      </c>
    </row>
    <row r="19" spans="1:5" x14ac:dyDescent="0.15">
      <c r="A19" s="18">
        <f>IF(令和５年度!F32="",0,IF(令和５年度!F32&lt;6,1,""))</f>
        <v>0</v>
      </c>
    </row>
    <row r="20" spans="1:5" x14ac:dyDescent="0.15">
      <c r="A20" s="18">
        <f>IF(令和５年度!F34="",0,IF(令和５年度!F34&lt;6,1,""))</f>
        <v>0</v>
      </c>
    </row>
    <row r="21" spans="1:5" x14ac:dyDescent="0.15">
      <c r="A21" s="18">
        <f>IF(令和５年度!F36="",0,IF(令和５年度!F36&lt;6,1,""))</f>
        <v>0</v>
      </c>
    </row>
    <row r="22" spans="1:5" ht="14.25" thickBot="1" x14ac:dyDescent="0.2">
      <c r="A22" s="18">
        <f>IF(令和５年度!F38="",0,IF(令和５年度!F38&lt;6,1,""))</f>
        <v>0</v>
      </c>
    </row>
    <row r="23" spans="1:5" ht="15" thickTop="1" thickBot="1" x14ac:dyDescent="0.2">
      <c r="A23" s="147">
        <f>SUM(A16:A22)</f>
        <v>0</v>
      </c>
    </row>
    <row r="24" spans="1:5" ht="14.25" thickTop="1" x14ac:dyDescent="0.15"/>
  </sheetData>
  <sheetProtection selectLockedCells="1"/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B1CB8-7A66-4A10-8C22-DB29BA427266}">
  <dimension ref="A1:F24"/>
  <sheetViews>
    <sheetView workbookViewId="0">
      <selection activeCell="F14" sqref="F14"/>
    </sheetView>
  </sheetViews>
  <sheetFormatPr defaultRowHeight="13.5" x14ac:dyDescent="0.15"/>
  <cols>
    <col min="1" max="1" width="9" style="18"/>
    <col min="2" max="2" width="9.25" style="18" bestFit="1" customWidth="1"/>
    <col min="3" max="6" width="9" style="18"/>
    <col min="7" max="9" width="12.125" style="18" bestFit="1" customWidth="1"/>
    <col min="10" max="16384" width="9" style="18"/>
  </cols>
  <sheetData>
    <row r="1" spans="1:6" x14ac:dyDescent="0.15">
      <c r="A1" s="18" t="s">
        <v>12</v>
      </c>
    </row>
    <row r="2" spans="1:6" x14ac:dyDescent="0.15">
      <c r="A2" s="24"/>
      <c r="B2" s="43" t="s">
        <v>3</v>
      </c>
      <c r="C2" s="43" t="s">
        <v>62</v>
      </c>
      <c r="D2" s="43" t="s">
        <v>4</v>
      </c>
    </row>
    <row r="3" spans="1:6" x14ac:dyDescent="0.15">
      <c r="A3" s="43" t="s">
        <v>13</v>
      </c>
      <c r="B3" s="24">
        <v>430000</v>
      </c>
      <c r="C3" s="24">
        <v>430000</v>
      </c>
      <c r="D3" s="24">
        <v>430000</v>
      </c>
    </row>
    <row r="4" spans="1:6" x14ac:dyDescent="0.15">
      <c r="A4" s="43" t="s">
        <v>14</v>
      </c>
      <c r="B4" s="50">
        <v>6.3600000000000004E-2</v>
      </c>
      <c r="C4" s="50">
        <v>2.5499999999999998E-2</v>
      </c>
      <c r="D4" s="50">
        <v>2.07E-2</v>
      </c>
    </row>
    <row r="5" spans="1:6" x14ac:dyDescent="0.15">
      <c r="A5" s="43" t="s">
        <v>1</v>
      </c>
      <c r="B5" s="24">
        <v>25900</v>
      </c>
      <c r="C5" s="24">
        <v>9800</v>
      </c>
      <c r="D5" s="24">
        <v>10500</v>
      </c>
    </row>
    <row r="6" spans="1:6" x14ac:dyDescent="0.15">
      <c r="A6" s="43" t="s">
        <v>2</v>
      </c>
      <c r="B6" s="24">
        <v>19000</v>
      </c>
      <c r="C6" s="24">
        <v>7200</v>
      </c>
      <c r="D6" s="24">
        <v>6400</v>
      </c>
      <c r="E6" s="24" t="str">
        <f>IF(令和４年度!AJ54=0,"該当なし",VLOOKUP(1,$E$8:$F$10,2,FALSE))</f>
        <v>該当なし</v>
      </c>
      <c r="F6" s="146">
        <f>IF(E6="該当なし",1,IF(E6="７割",0.7,IF(E6="５割",0.5,IF(E6="２割",0.2,"エラー"))))</f>
        <v>1</v>
      </c>
    </row>
    <row r="7" spans="1:6" x14ac:dyDescent="0.15">
      <c r="A7" s="43" t="s">
        <v>15</v>
      </c>
      <c r="B7" s="24">
        <v>630000</v>
      </c>
      <c r="C7" s="24">
        <v>190000</v>
      </c>
      <c r="D7" s="24">
        <v>170000</v>
      </c>
    </row>
    <row r="8" spans="1:6" x14ac:dyDescent="0.15">
      <c r="A8" s="43" t="s">
        <v>27</v>
      </c>
      <c r="B8" s="42">
        <v>0.7</v>
      </c>
      <c r="C8" s="42">
        <v>0.7</v>
      </c>
      <c r="D8" s="42">
        <v>0.7</v>
      </c>
      <c r="E8" s="18">
        <f>IF(令和４年度!AJ51=令和４年度!AJ54,1,"")</f>
        <v>1</v>
      </c>
      <c r="F8" s="18" t="s">
        <v>74</v>
      </c>
    </row>
    <row r="9" spans="1:6" x14ac:dyDescent="0.15">
      <c r="A9" s="43" t="s">
        <v>28</v>
      </c>
      <c r="B9" s="42">
        <v>0.5</v>
      </c>
      <c r="C9" s="42">
        <v>0.5</v>
      </c>
      <c r="D9" s="42">
        <v>0.5</v>
      </c>
      <c r="E9" s="18">
        <f>IF(令和４年度!AJ52=令和４年度!AJ54,1,"")</f>
        <v>1</v>
      </c>
      <c r="F9" s="18" t="s">
        <v>75</v>
      </c>
    </row>
    <row r="10" spans="1:6" x14ac:dyDescent="0.15">
      <c r="A10" s="43" t="s">
        <v>29</v>
      </c>
      <c r="B10" s="42">
        <v>0.2</v>
      </c>
      <c r="C10" s="42">
        <v>0.2</v>
      </c>
      <c r="D10" s="42">
        <v>0.2</v>
      </c>
      <c r="E10" s="18">
        <f>IF(令和４年度!AJ53=令和４年度!AJ54,1,"")</f>
        <v>1</v>
      </c>
      <c r="F10" s="18" t="s">
        <v>76</v>
      </c>
    </row>
    <row r="11" spans="1:6" x14ac:dyDescent="0.15">
      <c r="A11" s="43" t="s">
        <v>16</v>
      </c>
      <c r="B11" s="24">
        <v>150000</v>
      </c>
      <c r="C11" s="24"/>
      <c r="D11" s="24"/>
    </row>
    <row r="14" spans="1:6" x14ac:dyDescent="0.15">
      <c r="A14" s="18" t="s">
        <v>107</v>
      </c>
      <c r="D14" s="18" t="s">
        <v>111</v>
      </c>
    </row>
    <row r="15" spans="1:6" x14ac:dyDescent="0.15">
      <c r="A15" s="18" t="s">
        <v>108</v>
      </c>
      <c r="D15" s="18" t="s">
        <v>109</v>
      </c>
      <c r="E15" s="18" t="s">
        <v>110</v>
      </c>
    </row>
    <row r="16" spans="1:6" x14ac:dyDescent="0.15">
      <c r="A16" s="18">
        <f>IF(令和４年度!F26="",0,IF(令和４年度!F26&lt;6,1,""))</f>
        <v>0</v>
      </c>
      <c r="D16" s="18">
        <f>IF(E6="該当なし",B5*A23,(B5*A23)-(B5*A23*F6))</f>
        <v>0</v>
      </c>
      <c r="E16" s="18">
        <f>IF(E6="該当なし",C5*A23,(C5*A23)-(C5*A23*F6))</f>
        <v>0</v>
      </c>
    </row>
    <row r="17" spans="1:5" x14ac:dyDescent="0.15">
      <c r="A17" s="18">
        <f>IF(令和４年度!F28="",0,IF(令和４年度!F28&lt;6,1,""))</f>
        <v>0</v>
      </c>
      <c r="D17" s="18">
        <f>D16*0.5</f>
        <v>0</v>
      </c>
      <c r="E17" s="18">
        <f>E16*0.5</f>
        <v>0</v>
      </c>
    </row>
    <row r="18" spans="1:5" x14ac:dyDescent="0.15">
      <c r="A18" s="18">
        <f>IF(令和４年度!F30="",0,IF(令和４年度!F30&lt;6,1,""))</f>
        <v>0</v>
      </c>
    </row>
    <row r="19" spans="1:5" x14ac:dyDescent="0.15">
      <c r="A19" s="18">
        <f>IF(令和４年度!F32="",0,IF(令和４年度!F32&lt;6,1,""))</f>
        <v>0</v>
      </c>
    </row>
    <row r="20" spans="1:5" x14ac:dyDescent="0.15">
      <c r="A20" s="18">
        <f>IF(令和４年度!F34="",0,IF(令和４年度!F34&lt;6,1,""))</f>
        <v>0</v>
      </c>
    </row>
    <row r="21" spans="1:5" x14ac:dyDescent="0.15">
      <c r="A21" s="18">
        <f>IF(令和４年度!F36="",0,IF(令和４年度!F36&lt;6,1,""))</f>
        <v>0</v>
      </c>
    </row>
    <row r="22" spans="1:5" ht="14.25" thickBot="1" x14ac:dyDescent="0.2">
      <c r="A22" s="18">
        <f>IF(令和４年度!F38="",0,IF(令和４年度!F38&lt;6,1,""))</f>
        <v>0</v>
      </c>
    </row>
    <row r="23" spans="1:5" ht="15" thickTop="1" thickBot="1" x14ac:dyDescent="0.2">
      <c r="A23" s="147">
        <f>SUM(A16:A22)</f>
        <v>0</v>
      </c>
    </row>
    <row r="24" spans="1:5" ht="14.25" thickTop="1" x14ac:dyDescent="0.15"/>
  </sheetData>
  <sheetProtection selectLockedCells="1"/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BD616-1291-4236-8D67-514D1B9AAB2B}">
  <dimension ref="A1:A2"/>
  <sheetViews>
    <sheetView workbookViewId="0">
      <selection activeCell="F22" sqref="F22"/>
    </sheetView>
  </sheetViews>
  <sheetFormatPr defaultRowHeight="13.5" x14ac:dyDescent="0.15"/>
  <sheetData>
    <row r="1" spans="1:1" x14ac:dyDescent="0.15">
      <c r="A1" t="s">
        <v>118</v>
      </c>
    </row>
    <row r="2" spans="1:1" x14ac:dyDescent="0.15">
      <c r="A2">
        <v>2323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令和６年度</vt:lpstr>
      <vt:lpstr>令和５年度</vt:lpstr>
      <vt:lpstr>令和４年度</vt:lpstr>
      <vt:lpstr>R６税率</vt:lpstr>
      <vt:lpstr>R５税率</vt:lpstr>
      <vt:lpstr>R４税率</vt:lpstr>
      <vt:lpstr>pass</vt:lpstr>
      <vt:lpstr>令和４年度!Print_Area</vt:lpstr>
      <vt:lpstr>令和５年度!Print_Area</vt:lpstr>
      <vt:lpstr>令和６年度!Print_Area</vt:lpstr>
    </vt:vector>
  </TitlesOfParts>
  <Company>伊勢崎市役所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nanzawa</dc:creator>
  <cp:lastModifiedBy>Administrator</cp:lastModifiedBy>
  <cp:lastPrinted>2021-05-19T02:13:55Z</cp:lastPrinted>
  <dcterms:created xsi:type="dcterms:W3CDTF">2004-04-14T23:44:04Z</dcterms:created>
  <dcterms:modified xsi:type="dcterms:W3CDTF">2024-03-29T00:16:36Z</dcterms:modified>
</cp:coreProperties>
</file>